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eeforlever\Desktop\"/>
    </mc:Choice>
  </mc:AlternateContent>
  <bookViews>
    <workbookView xWindow="0" yWindow="0" windowWidth="4455" windowHeight="7485" tabRatio="735" firstSheet="1" activeTab="1"/>
  </bookViews>
  <sheets>
    <sheet name="CB" sheetId="16" state="hidden" r:id="rId1"/>
    <sheet name="Calculadora" sheetId="1" r:id="rId2"/>
    <sheet name="CC" sheetId="2" r:id="rId3"/>
    <sheet name="HIO's Speciais" sheetId="22" state="hidden" r:id="rId4"/>
    <sheet name="Calibrador" sheetId="3" state="hidden" r:id="rId5"/>
    <sheet name="INF ..." sheetId="12" state="hidden" r:id="rId6"/>
    <sheet name="HWI Speciais" sheetId="21" state="hidden" r:id="rId7"/>
    <sheet name="Beam" sheetId="25" state="hidden" r:id="rId8"/>
    <sheet name="Wind Hill" sheetId="24" state="hidden" r:id="rId9"/>
    <sheet name="Dunk 2i" sheetId="26" state="hidden" r:id="rId10"/>
    <sheet name="PB" sheetId="28" state="hidden" r:id="rId11"/>
    <sheet name="Inclinações" sheetId="29" state="hidden" r:id="rId12"/>
    <sheet name="D. Real" sheetId="27" r:id="rId13"/>
    <sheet name="Lost 11 349" sheetId="30" state="hidden" r:id="rId14"/>
    <sheet name="Lost 11 363" sheetId="31" state="hidden" r:id="rId15"/>
    <sheet name="Lost 11 356" sheetId="32" state="hidden" r:id="rId16"/>
    <sheet name="Caliper" sheetId="33" r:id="rId17"/>
    <sheet name="S1" sheetId="34" state="hidden" r:id="rId18"/>
  </sheets>
  <externalReferences>
    <externalReference r:id="rId19"/>
    <externalReference r:id="rId20"/>
  </externalReferences>
  <calcPr calcId="152511"/>
</workbook>
</file>

<file path=xl/calcChain.xml><?xml version="1.0" encoding="utf-8"?>
<calcChain xmlns="http://schemas.openxmlformats.org/spreadsheetml/2006/main">
  <c r="A4" i="34" l="1"/>
  <c r="A5" i="34"/>
  <c r="A6" i="34"/>
  <c r="A7" i="34"/>
  <c r="A8" i="34"/>
  <c r="A9" i="34"/>
  <c r="A10" i="34"/>
  <c r="A11" i="34"/>
  <c r="A12" i="34"/>
  <c r="A13" i="34"/>
  <c r="N363" i="33"/>
  <c r="Q363" i="33"/>
  <c r="T363" i="33"/>
  <c r="E363" i="33"/>
  <c r="Q362" i="33"/>
  <c r="N362" i="33"/>
  <c r="Q361" i="33"/>
  <c r="N361" i="33"/>
  <c r="Q360" i="33"/>
  <c r="N360" i="33"/>
  <c r="Q359" i="33"/>
  <c r="N359" i="33"/>
  <c r="Q358" i="33"/>
  <c r="N358" i="33"/>
  <c r="Q357" i="33"/>
  <c r="N357" i="33"/>
  <c r="Q356" i="33"/>
  <c r="N356" i="33"/>
  <c r="Q355" i="33"/>
  <c r="N355" i="33"/>
  <c r="Q354" i="33"/>
  <c r="N354" i="33"/>
  <c r="Q353" i="33"/>
  <c r="N353" i="33"/>
  <c r="Q352" i="33"/>
  <c r="N352" i="33"/>
  <c r="Q351" i="33"/>
  <c r="N351" i="33"/>
  <c r="Q350" i="33"/>
  <c r="N350" i="33"/>
  <c r="Q349" i="33"/>
  <c r="N349" i="33"/>
  <c r="Q348" i="33"/>
  <c r="N348" i="33"/>
  <c r="Q347" i="33"/>
  <c r="N347" i="33"/>
  <c r="Q346" i="33"/>
  <c r="N346" i="33"/>
  <c r="Q345" i="33"/>
  <c r="N345" i="33"/>
  <c r="Q344" i="33"/>
  <c r="N344" i="33"/>
  <c r="Q343" i="33"/>
  <c r="N343" i="33"/>
  <c r="Q342" i="33"/>
  <c r="N342" i="33"/>
  <c r="Q341" i="33"/>
  <c r="N341" i="33"/>
  <c r="Q340" i="33"/>
  <c r="N340" i="33"/>
  <c r="Q339" i="33"/>
  <c r="N339" i="33"/>
  <c r="Q338" i="33"/>
  <c r="N338" i="33"/>
  <c r="Q337" i="33"/>
  <c r="N337" i="33"/>
  <c r="Q336" i="33"/>
  <c r="N336" i="33"/>
  <c r="Q335" i="33"/>
  <c r="N335" i="33"/>
  <c r="Q334" i="33"/>
  <c r="N334" i="33"/>
  <c r="Q333" i="33"/>
  <c r="N333" i="33"/>
  <c r="Q332" i="33"/>
  <c r="N332" i="33"/>
  <c r="Q331" i="33"/>
  <c r="N331" i="33"/>
  <c r="Q330" i="33"/>
  <c r="N330" i="33"/>
  <c r="Q329" i="33"/>
  <c r="N329" i="33"/>
  <c r="Q328" i="33"/>
  <c r="N328" i="33"/>
  <c r="Q327" i="33"/>
  <c r="N327" i="33"/>
  <c r="Q326" i="33"/>
  <c r="N326" i="33"/>
  <c r="Q325" i="33"/>
  <c r="N325" i="33"/>
  <c r="N324" i="33"/>
  <c r="N323" i="33"/>
  <c r="N322" i="33"/>
  <c r="N321" i="33"/>
  <c r="N320" i="33"/>
  <c r="N319" i="33"/>
  <c r="N318" i="33"/>
  <c r="N317" i="33"/>
  <c r="N316" i="33"/>
  <c r="N315" i="33"/>
  <c r="N314" i="33"/>
  <c r="N313" i="33"/>
  <c r="N312" i="33"/>
  <c r="N311" i="33"/>
  <c r="Q324" i="33"/>
  <c r="Q323" i="33"/>
  <c r="Q322" i="33"/>
  <c r="Q321" i="33"/>
  <c r="Q320" i="33"/>
  <c r="Q319" i="33"/>
  <c r="Q318" i="33"/>
  <c r="Q317" i="33"/>
  <c r="Q316" i="33"/>
  <c r="Q315" i="33"/>
  <c r="Q314" i="33"/>
  <c r="Q313" i="33"/>
  <c r="Q312" i="33"/>
  <c r="Q311" i="33"/>
  <c r="Q310" i="33"/>
  <c r="N310" i="33"/>
  <c r="Q309" i="33"/>
  <c r="N309" i="33"/>
  <c r="Q308" i="33"/>
  <c r="N308" i="33"/>
  <c r="Q307" i="33"/>
  <c r="N307" i="33"/>
  <c r="Q306" i="33"/>
  <c r="N306" i="33"/>
  <c r="Q305" i="33"/>
  <c r="N305" i="33"/>
  <c r="Q304" i="33"/>
  <c r="N304" i="33"/>
  <c r="Q303" i="33"/>
  <c r="N303" i="33"/>
  <c r="Q302" i="33"/>
  <c r="N302" i="33"/>
  <c r="Q301" i="33"/>
  <c r="N301" i="33"/>
  <c r="Q300" i="33"/>
  <c r="N300" i="33"/>
  <c r="Q299" i="33"/>
  <c r="N299" i="33"/>
  <c r="Q298" i="33"/>
  <c r="N298" i="33"/>
  <c r="Q297" i="33"/>
  <c r="N297" i="33"/>
  <c r="Q296" i="33"/>
  <c r="N296" i="33"/>
  <c r="Q295" i="33"/>
  <c r="N295" i="33"/>
  <c r="Q294" i="33"/>
  <c r="N294" i="33"/>
  <c r="Q293" i="33"/>
  <c r="N293" i="33"/>
  <c r="Q292" i="33"/>
  <c r="N292" i="33"/>
  <c r="Q291" i="33"/>
  <c r="N291" i="33"/>
  <c r="Q290" i="33"/>
  <c r="N290" i="33"/>
  <c r="Q289" i="33"/>
  <c r="N289" i="33"/>
  <c r="Q288" i="33"/>
  <c r="N288" i="33"/>
  <c r="Q287" i="33"/>
  <c r="N287" i="33"/>
  <c r="Q286" i="33"/>
  <c r="N286" i="33"/>
  <c r="Q285" i="33"/>
  <c r="N285" i="33"/>
  <c r="Q284" i="33"/>
  <c r="N284" i="33"/>
  <c r="Q283" i="33"/>
  <c r="N283" i="33"/>
  <c r="Q282" i="33"/>
  <c r="N282" i="33"/>
  <c r="Q281" i="33"/>
  <c r="N281" i="33"/>
  <c r="Q280" i="33"/>
  <c r="N280" i="33"/>
  <c r="Q279" i="33"/>
  <c r="N279" i="33"/>
  <c r="Q278" i="33"/>
  <c r="N278" i="33"/>
  <c r="Q277" i="33"/>
  <c r="N277" i="33"/>
  <c r="Q276" i="33"/>
  <c r="N276" i="33"/>
  <c r="Q275" i="33"/>
  <c r="N275" i="33"/>
  <c r="Q274" i="33"/>
  <c r="N274" i="33"/>
  <c r="Q273" i="33"/>
  <c r="N273" i="33"/>
  <c r="Q272" i="33"/>
  <c r="N272" i="33"/>
  <c r="Q271" i="33"/>
  <c r="N271" i="33"/>
  <c r="Q270" i="33"/>
  <c r="N270" i="33"/>
  <c r="Q269" i="33"/>
  <c r="N269" i="33"/>
  <c r="Q268" i="33"/>
  <c r="N268" i="33"/>
  <c r="Q267" i="33"/>
  <c r="N267" i="33"/>
  <c r="Q266" i="33"/>
  <c r="N266" i="33"/>
  <c r="Q265" i="33"/>
  <c r="N265" i="33"/>
  <c r="Q264" i="33"/>
  <c r="N264" i="33"/>
  <c r="Q263" i="33"/>
  <c r="N263" i="33"/>
  <c r="Q262" i="33"/>
  <c r="N262" i="33"/>
  <c r="Q261" i="33"/>
  <c r="N261" i="33"/>
  <c r="Q260" i="33"/>
  <c r="N260" i="33"/>
  <c r="Q259" i="33"/>
  <c r="N259" i="33"/>
  <c r="Q258" i="33"/>
  <c r="N258" i="33"/>
  <c r="Q257" i="33"/>
  <c r="N257" i="33"/>
  <c r="Q256" i="33"/>
  <c r="N256" i="33"/>
  <c r="Q255" i="33"/>
  <c r="N255" i="33"/>
  <c r="Q254" i="33"/>
  <c r="N254" i="33"/>
  <c r="Q253" i="33"/>
  <c r="N253" i="33"/>
  <c r="Q252" i="33"/>
  <c r="N252" i="33"/>
  <c r="Q251" i="33"/>
  <c r="N251" i="33"/>
  <c r="Q250" i="33"/>
  <c r="N250" i="33"/>
  <c r="Q249" i="33"/>
  <c r="N249" i="33"/>
  <c r="Q248" i="33"/>
  <c r="N248" i="33"/>
  <c r="Q247" i="33"/>
  <c r="N247" i="33"/>
  <c r="Q246" i="33"/>
  <c r="N246" i="33"/>
  <c r="Q245" i="33"/>
  <c r="N245" i="33"/>
  <c r="Q244" i="33"/>
  <c r="N244" i="33"/>
  <c r="Q243" i="33"/>
  <c r="N243" i="33"/>
  <c r="Q242" i="33"/>
  <c r="N242" i="33"/>
  <c r="Q241" i="33"/>
  <c r="N241" i="33"/>
  <c r="Q240" i="33"/>
  <c r="N240" i="33"/>
  <c r="Q239" i="33"/>
  <c r="N239" i="33"/>
  <c r="Q238" i="33"/>
  <c r="N238" i="33"/>
  <c r="Q237" i="33"/>
  <c r="N237" i="33"/>
  <c r="Q236" i="33"/>
  <c r="N236" i="33"/>
  <c r="Q235" i="33"/>
  <c r="N235" i="33"/>
  <c r="Q234" i="33"/>
  <c r="N234" i="33"/>
  <c r="Q233" i="33"/>
  <c r="N233" i="33"/>
  <c r="Q232" i="33"/>
  <c r="N232" i="33"/>
  <c r="Q231" i="33"/>
  <c r="N231" i="33"/>
  <c r="Q230" i="33"/>
  <c r="N230" i="33"/>
  <c r="Q229" i="33"/>
  <c r="N229" i="33"/>
  <c r="Q228" i="33"/>
  <c r="N228" i="33"/>
  <c r="Q227" i="33"/>
  <c r="N227" i="33"/>
  <c r="Q226" i="33"/>
  <c r="N226" i="33"/>
  <c r="Q225" i="33"/>
  <c r="N225" i="33"/>
  <c r="Q224" i="33"/>
  <c r="N224" i="33"/>
  <c r="Q223" i="33"/>
  <c r="N223" i="33"/>
  <c r="Q222" i="33"/>
  <c r="N222" i="33"/>
  <c r="Q221" i="33"/>
  <c r="N221" i="33"/>
  <c r="Q220" i="33"/>
  <c r="N220" i="33"/>
  <c r="Q219" i="33"/>
  <c r="N219" i="33"/>
  <c r="Q218" i="33"/>
  <c r="N218" i="33"/>
  <c r="Q217" i="33"/>
  <c r="N217" i="33"/>
  <c r="Q216" i="33"/>
  <c r="N216" i="33"/>
  <c r="Q215" i="33"/>
  <c r="N215" i="33"/>
  <c r="Q214" i="33"/>
  <c r="N214" i="33"/>
  <c r="Q213" i="33"/>
  <c r="N213" i="33"/>
  <c r="Q212" i="33"/>
  <c r="N212" i="33"/>
  <c r="Q211" i="33"/>
  <c r="N211" i="33"/>
  <c r="Q210" i="33"/>
  <c r="N210" i="33"/>
  <c r="Q209" i="33"/>
  <c r="N209" i="33"/>
  <c r="Q208" i="33"/>
  <c r="N208" i="33"/>
  <c r="Q207" i="33"/>
  <c r="N207" i="33"/>
  <c r="Q206" i="33"/>
  <c r="N206" i="33"/>
  <c r="Q205" i="33"/>
  <c r="N205" i="33"/>
  <c r="Q204" i="33"/>
  <c r="N204" i="33"/>
  <c r="Q203" i="33"/>
  <c r="N203" i="33"/>
  <c r="Q202" i="33"/>
  <c r="N202" i="33"/>
  <c r="Q201" i="33"/>
  <c r="N201" i="33"/>
  <c r="Q200" i="33"/>
  <c r="N200" i="33"/>
  <c r="Q199" i="33"/>
  <c r="N199" i="33"/>
  <c r="Q198" i="33"/>
  <c r="N198" i="33"/>
  <c r="Q197" i="33"/>
  <c r="N197" i="33"/>
  <c r="Q196" i="33"/>
  <c r="N196" i="33"/>
  <c r="Q195" i="33"/>
  <c r="N195" i="33"/>
  <c r="Q194" i="33"/>
  <c r="N194" i="33"/>
  <c r="Q193" i="33"/>
  <c r="N193" i="33"/>
  <c r="Q192" i="33"/>
  <c r="N192" i="33"/>
  <c r="Q191" i="33"/>
  <c r="N191" i="33"/>
  <c r="Q190" i="33"/>
  <c r="N190" i="33"/>
  <c r="Q189" i="33"/>
  <c r="N189" i="33"/>
  <c r="Q188" i="33"/>
  <c r="N188" i="33"/>
  <c r="Q187" i="33"/>
  <c r="N187" i="33"/>
  <c r="Q186" i="33"/>
  <c r="N186" i="33"/>
  <c r="Q185" i="33"/>
  <c r="N185" i="33"/>
  <c r="Q184" i="33"/>
  <c r="N184" i="33"/>
  <c r="Q183" i="33"/>
  <c r="N183" i="33"/>
  <c r="Q182" i="33"/>
  <c r="N182" i="33"/>
  <c r="Q181" i="33"/>
  <c r="N181" i="33"/>
  <c r="Q180" i="33"/>
  <c r="N180" i="33"/>
  <c r="Q179" i="33"/>
  <c r="N179" i="33"/>
  <c r="Q178" i="33"/>
  <c r="N178" i="33"/>
  <c r="Q177" i="33"/>
  <c r="N177" i="33"/>
  <c r="Q176" i="33"/>
  <c r="N176" i="33"/>
  <c r="Q175" i="33"/>
  <c r="N175" i="33"/>
  <c r="Q174" i="33"/>
  <c r="N174" i="33"/>
  <c r="Q173" i="33"/>
  <c r="N173" i="33"/>
  <c r="Q172" i="33"/>
  <c r="N172" i="33"/>
  <c r="Q171" i="33"/>
  <c r="N171" i="33"/>
  <c r="Q170" i="33"/>
  <c r="N170" i="33"/>
  <c r="Q169" i="33"/>
  <c r="N169" i="33"/>
  <c r="Q168" i="33"/>
  <c r="N168" i="33"/>
  <c r="Q167" i="33"/>
  <c r="N167" i="33"/>
  <c r="Q166" i="33"/>
  <c r="N166" i="33"/>
  <c r="Q165" i="33"/>
  <c r="N165" i="33"/>
  <c r="Q164" i="33"/>
  <c r="N164" i="33"/>
  <c r="Q163" i="33"/>
  <c r="N163" i="33"/>
  <c r="Q162" i="33"/>
  <c r="N162" i="33"/>
  <c r="Q161" i="33"/>
  <c r="N161" i="33"/>
  <c r="Q160" i="33"/>
  <c r="N160" i="33"/>
  <c r="Q159" i="33"/>
  <c r="N159" i="33"/>
  <c r="Q158" i="33"/>
  <c r="N158" i="33"/>
  <c r="Q157" i="33"/>
  <c r="N157" i="33"/>
  <c r="Q156" i="33"/>
  <c r="N156" i="33"/>
  <c r="Q155" i="33"/>
  <c r="N155" i="33"/>
  <c r="Q154" i="33"/>
  <c r="N154" i="33"/>
  <c r="Q153" i="33"/>
  <c r="N153" i="33"/>
  <c r="Q152" i="33"/>
  <c r="N152" i="33"/>
  <c r="Q151" i="33"/>
  <c r="N151" i="33"/>
  <c r="Q150" i="33"/>
  <c r="N150" i="33"/>
  <c r="Q149" i="33"/>
  <c r="N149" i="33"/>
  <c r="Q148" i="33"/>
  <c r="N148" i="33"/>
  <c r="Q147" i="33"/>
  <c r="N147" i="33"/>
  <c r="Q146" i="33"/>
  <c r="N146" i="33"/>
  <c r="Q145" i="33"/>
  <c r="N145" i="33"/>
  <c r="Q144" i="33"/>
  <c r="N144" i="33"/>
  <c r="Q143" i="33"/>
  <c r="N143" i="33"/>
  <c r="Q142" i="33"/>
  <c r="N142" i="33"/>
  <c r="Q141" i="33"/>
  <c r="N141" i="33"/>
  <c r="Q140" i="33"/>
  <c r="N140" i="33"/>
  <c r="Q139" i="33"/>
  <c r="N139" i="33"/>
  <c r="Q138" i="33"/>
  <c r="N138" i="33"/>
  <c r="Q137" i="33"/>
  <c r="N137" i="33"/>
  <c r="Q136" i="33"/>
  <c r="N136" i="33"/>
  <c r="Q135" i="33"/>
  <c r="N135" i="33"/>
  <c r="Q134" i="33"/>
  <c r="N134" i="33"/>
  <c r="Q133" i="33"/>
  <c r="N133" i="33"/>
  <c r="Q132" i="33"/>
  <c r="N132" i="33"/>
  <c r="Q131" i="33"/>
  <c r="N131" i="33"/>
  <c r="Q130" i="33"/>
  <c r="N130" i="33"/>
  <c r="Q129" i="33"/>
  <c r="N129" i="33"/>
  <c r="Q128" i="33"/>
  <c r="N128" i="33"/>
  <c r="Q127" i="33"/>
  <c r="N127" i="33"/>
  <c r="Q126" i="33"/>
  <c r="N126" i="33"/>
  <c r="Q125" i="33"/>
  <c r="N125" i="33"/>
  <c r="Q124" i="33"/>
  <c r="N124" i="33"/>
  <c r="Q123" i="33"/>
  <c r="N123" i="33"/>
  <c r="Q122" i="33"/>
  <c r="N122" i="33"/>
  <c r="Q121" i="33"/>
  <c r="N121" i="33"/>
  <c r="Q120" i="33"/>
  <c r="N120" i="33"/>
  <c r="Q119" i="33"/>
  <c r="N119" i="33"/>
  <c r="Q118" i="33"/>
  <c r="N118" i="33"/>
  <c r="Q117" i="33"/>
  <c r="N117" i="33"/>
  <c r="Q116" i="33"/>
  <c r="N116" i="33"/>
  <c r="Q115" i="33"/>
  <c r="N115" i="33"/>
  <c r="Q114" i="33"/>
  <c r="N114" i="33"/>
  <c r="Q113" i="33"/>
  <c r="N113" i="33"/>
  <c r="Q112" i="33"/>
  <c r="N112" i="33"/>
  <c r="Q111" i="33"/>
  <c r="N111" i="33"/>
  <c r="Q110" i="33"/>
  <c r="N110" i="33"/>
  <c r="Q109" i="33"/>
  <c r="N109" i="33"/>
  <c r="Q108" i="33"/>
  <c r="N108" i="33"/>
  <c r="Q107" i="33"/>
  <c r="N107" i="33"/>
  <c r="Q106" i="33"/>
  <c r="N106" i="33"/>
  <c r="Q105" i="33"/>
  <c r="N105" i="33"/>
  <c r="Q104" i="33"/>
  <c r="N104" i="33"/>
  <c r="Q103" i="33"/>
  <c r="N103" i="33"/>
  <c r="Q102" i="33"/>
  <c r="N102" i="33"/>
  <c r="Q101" i="33"/>
  <c r="N101" i="33"/>
  <c r="Q100" i="33"/>
  <c r="N100" i="33"/>
  <c r="Q99" i="33"/>
  <c r="N99" i="33"/>
  <c r="Q98" i="33"/>
  <c r="N98" i="33"/>
  <c r="Q97" i="33"/>
  <c r="N97" i="33"/>
  <c r="Q96" i="33"/>
  <c r="N96" i="33"/>
  <c r="Q95" i="33"/>
  <c r="N95" i="33"/>
  <c r="Q94" i="33"/>
  <c r="N94" i="33"/>
  <c r="Q93" i="33"/>
  <c r="N93" i="33"/>
  <c r="Q92" i="33"/>
  <c r="N92" i="33"/>
  <c r="Q91" i="33"/>
  <c r="N91" i="33"/>
  <c r="Q90" i="33"/>
  <c r="N90" i="33"/>
  <c r="Q89" i="33"/>
  <c r="N89" i="33"/>
  <c r="Q88" i="33"/>
  <c r="N88" i="33"/>
  <c r="Q87" i="33"/>
  <c r="N87" i="33"/>
  <c r="Q86" i="33"/>
  <c r="N86" i="33"/>
  <c r="Q85" i="33"/>
  <c r="N85" i="33"/>
  <c r="Q84" i="33"/>
  <c r="N84" i="33"/>
  <c r="Q83" i="33"/>
  <c r="N83" i="33"/>
  <c r="Q82" i="33"/>
  <c r="N82" i="33"/>
  <c r="Q81" i="33"/>
  <c r="N81" i="33"/>
  <c r="Q80" i="33"/>
  <c r="N80" i="33"/>
  <c r="Q79" i="33"/>
  <c r="N79" i="33"/>
  <c r="Q78" i="33"/>
  <c r="N78" i="33"/>
  <c r="Q77" i="33"/>
  <c r="N77" i="33"/>
  <c r="Q76" i="33"/>
  <c r="N76" i="33"/>
  <c r="Q75" i="33"/>
  <c r="N75" i="33"/>
  <c r="Q74" i="33"/>
  <c r="N74" i="33"/>
  <c r="Q73" i="33"/>
  <c r="N73" i="33"/>
  <c r="Q72" i="33"/>
  <c r="N72" i="33"/>
  <c r="Q71" i="33"/>
  <c r="N71" i="33"/>
  <c r="Q70" i="33"/>
  <c r="N70" i="33"/>
  <c r="Q69" i="33"/>
  <c r="N69" i="33"/>
  <c r="Q68" i="33"/>
  <c r="N68" i="33"/>
  <c r="Q67" i="33"/>
  <c r="N67" i="33"/>
  <c r="Q66" i="33"/>
  <c r="N66" i="33"/>
  <c r="Q65" i="33"/>
  <c r="N65" i="33"/>
  <c r="Q64" i="33"/>
  <c r="N64" i="33"/>
  <c r="Q63" i="33"/>
  <c r="N63" i="33"/>
  <c r="Q62" i="33"/>
  <c r="N62" i="33"/>
  <c r="Q61" i="33"/>
  <c r="N61" i="33"/>
  <c r="Q60" i="33"/>
  <c r="N60" i="33"/>
  <c r="Q59" i="33"/>
  <c r="N59" i="33"/>
  <c r="Q58" i="33"/>
  <c r="N58" i="33"/>
  <c r="Q57" i="33"/>
  <c r="N57" i="33"/>
  <c r="Q56" i="33"/>
  <c r="N56" i="33"/>
  <c r="Q55" i="33"/>
  <c r="N55" i="33"/>
  <c r="Q54" i="33"/>
  <c r="N54" i="33"/>
  <c r="Q53" i="33"/>
  <c r="N53" i="33"/>
  <c r="Q52" i="33"/>
  <c r="N52" i="33"/>
  <c r="Q51" i="33"/>
  <c r="N51" i="33"/>
  <c r="Q50" i="33"/>
  <c r="N50" i="33"/>
  <c r="Q49" i="33"/>
  <c r="N49" i="33"/>
  <c r="Q48" i="33"/>
  <c r="N48" i="33"/>
  <c r="Q47" i="33"/>
  <c r="N47" i="33"/>
  <c r="Q46" i="33"/>
  <c r="N46" i="33"/>
  <c r="Q45" i="33"/>
  <c r="N45" i="33"/>
  <c r="Q44" i="33"/>
  <c r="N44" i="33"/>
  <c r="Q43" i="33"/>
  <c r="N43" i="33"/>
  <c r="Q42" i="33"/>
  <c r="N42" i="33"/>
  <c r="Q41" i="33"/>
  <c r="N41" i="33"/>
  <c r="Q40" i="33"/>
  <c r="N40" i="33"/>
  <c r="Q39" i="33"/>
  <c r="N39" i="33"/>
  <c r="Q38" i="33"/>
  <c r="N38" i="33"/>
  <c r="Q37" i="33"/>
  <c r="N37" i="33"/>
  <c r="Q36" i="33"/>
  <c r="N36" i="33"/>
  <c r="Q35" i="33"/>
  <c r="N35" i="33"/>
  <c r="Q34" i="33"/>
  <c r="N34" i="33"/>
  <c r="Q33" i="33"/>
  <c r="N33" i="33"/>
  <c r="Q32" i="33"/>
  <c r="N32" i="33"/>
  <c r="Q31" i="33"/>
  <c r="N31" i="33"/>
  <c r="Q30" i="33"/>
  <c r="N30" i="33"/>
  <c r="Q29" i="33"/>
  <c r="N29" i="33"/>
  <c r="Q28" i="33"/>
  <c r="N28" i="33"/>
  <c r="Q27" i="33"/>
  <c r="N27" i="33"/>
  <c r="Q26" i="33"/>
  <c r="N26" i="33"/>
  <c r="Q25" i="33"/>
  <c r="N25" i="33"/>
  <c r="Q24" i="33"/>
  <c r="N24" i="33"/>
  <c r="Q23" i="33"/>
  <c r="N23" i="33"/>
  <c r="Q22" i="33"/>
  <c r="N22" i="33"/>
  <c r="Q21" i="33"/>
  <c r="N21" i="33"/>
  <c r="Q20" i="33"/>
  <c r="N20" i="33"/>
  <c r="Q19" i="33"/>
  <c r="N19" i="33"/>
  <c r="Q18" i="33"/>
  <c r="N18" i="33"/>
  <c r="Q17" i="33"/>
  <c r="N17" i="33"/>
  <c r="Q16" i="33"/>
  <c r="N16" i="33"/>
  <c r="Q15" i="33"/>
  <c r="N15" i="33"/>
  <c r="Q14" i="33"/>
  <c r="N14" i="33"/>
  <c r="Q13" i="33"/>
  <c r="N13" i="33"/>
  <c r="Q12" i="33"/>
  <c r="N12" i="33"/>
  <c r="Q11" i="33"/>
  <c r="N11" i="33"/>
  <c r="Q10" i="33"/>
  <c r="N10" i="33"/>
  <c r="Q9" i="33"/>
  <c r="N9" i="33"/>
  <c r="Q8" i="33"/>
  <c r="N8" i="33"/>
  <c r="Q7" i="33"/>
  <c r="N7" i="33"/>
  <c r="Q6" i="33"/>
  <c r="N6" i="33"/>
  <c r="Q5" i="33"/>
  <c r="N5" i="33"/>
  <c r="Q4" i="33"/>
  <c r="N4" i="33"/>
  <c r="D4" i="33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D208" i="33"/>
  <c r="D209" i="33"/>
  <c r="D210" i="33"/>
  <c r="D211" i="33"/>
  <c r="D212" i="33"/>
  <c r="D213" i="33"/>
  <c r="D214" i="33"/>
  <c r="D215" i="33"/>
  <c r="D216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30" i="33"/>
  <c r="D231" i="33"/>
  <c r="D232" i="33"/>
  <c r="D233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56" i="33"/>
  <c r="D257" i="33"/>
  <c r="D258" i="33"/>
  <c r="D259" i="33"/>
  <c r="D260" i="33"/>
  <c r="D261" i="33"/>
  <c r="D262" i="33"/>
  <c r="D263" i="33"/>
  <c r="D264" i="33"/>
  <c r="D265" i="33"/>
  <c r="D266" i="33"/>
  <c r="D267" i="33"/>
  <c r="D268" i="33"/>
  <c r="D269" i="33"/>
  <c r="D270" i="33"/>
  <c r="D271" i="33"/>
  <c r="D272" i="33"/>
  <c r="D273" i="33"/>
  <c r="D274" i="33"/>
  <c r="D275" i="33"/>
  <c r="D276" i="33"/>
  <c r="D277" i="33"/>
  <c r="D278" i="33"/>
  <c r="D279" i="33"/>
  <c r="D280" i="33"/>
  <c r="D281" i="33"/>
  <c r="D282" i="33"/>
  <c r="D283" i="33"/>
  <c r="D284" i="33"/>
  <c r="D285" i="33"/>
  <c r="D286" i="33"/>
  <c r="D287" i="33"/>
  <c r="D288" i="33"/>
  <c r="D289" i="33"/>
  <c r="D290" i="33"/>
  <c r="D291" i="33"/>
  <c r="D292" i="33"/>
  <c r="D293" i="33"/>
  <c r="D294" i="33"/>
  <c r="D295" i="33"/>
  <c r="D296" i="33"/>
  <c r="D297" i="33"/>
  <c r="D298" i="33"/>
  <c r="D299" i="33"/>
  <c r="D300" i="33"/>
  <c r="D301" i="33"/>
  <c r="D302" i="33"/>
  <c r="D303" i="33"/>
  <c r="D304" i="33"/>
  <c r="D305" i="33"/>
  <c r="D306" i="33"/>
  <c r="D307" i="33"/>
  <c r="D308" i="33"/>
  <c r="D309" i="33"/>
  <c r="D310" i="33"/>
  <c r="D311" i="33"/>
  <c r="D312" i="33"/>
  <c r="D313" i="33"/>
  <c r="D314" i="33"/>
  <c r="D315" i="33"/>
  <c r="D316" i="33"/>
  <c r="D317" i="33"/>
  <c r="D318" i="33"/>
  <c r="D319" i="33"/>
  <c r="D320" i="33"/>
  <c r="D321" i="33"/>
  <c r="D322" i="33"/>
  <c r="D323" i="33"/>
  <c r="D324" i="33"/>
  <c r="D325" i="33"/>
  <c r="D326" i="33"/>
  <c r="D327" i="33"/>
  <c r="D328" i="33"/>
  <c r="D329" i="33"/>
  <c r="D330" i="33"/>
  <c r="D331" i="33"/>
  <c r="D332" i="33"/>
  <c r="D333" i="33"/>
  <c r="D334" i="33"/>
  <c r="D335" i="33"/>
  <c r="D336" i="33"/>
  <c r="D337" i="33"/>
  <c r="D338" i="33"/>
  <c r="D339" i="33"/>
  <c r="D340" i="33"/>
  <c r="D341" i="33"/>
  <c r="D342" i="33"/>
  <c r="D343" i="33"/>
  <c r="D344" i="33"/>
  <c r="D345" i="33"/>
  <c r="D346" i="33"/>
  <c r="D347" i="33"/>
  <c r="D348" i="33"/>
  <c r="D349" i="33"/>
  <c r="D350" i="33"/>
  <c r="D351" i="33"/>
  <c r="D352" i="33"/>
  <c r="D353" i="33"/>
  <c r="D354" i="33"/>
  <c r="D355" i="33"/>
  <c r="D356" i="33"/>
  <c r="D357" i="33"/>
  <c r="D358" i="33"/>
  <c r="D359" i="33"/>
  <c r="D360" i="33"/>
  <c r="D361" i="33"/>
  <c r="D362" i="33"/>
  <c r="D363" i="33"/>
  <c r="Q3" i="33"/>
  <c r="N3" i="33"/>
  <c r="E1" i="12"/>
  <c r="F1" i="12"/>
  <c r="G1" i="12"/>
  <c r="H1" i="12"/>
  <c r="I1" i="12"/>
  <c r="AA35" i="2"/>
  <c r="AB35" i="2" s="1"/>
  <c r="N42" i="34" s="1"/>
  <c r="AA27" i="2"/>
  <c r="AB27" i="2" s="1"/>
  <c r="S27" i="2"/>
  <c r="T27" i="2" s="1"/>
  <c r="S34" i="2"/>
  <c r="T34" i="2" s="1"/>
  <c r="V24" i="2"/>
  <c r="V25" i="2"/>
  <c r="V26" i="2"/>
  <c r="V27" i="2"/>
  <c r="V28" i="2"/>
  <c r="V29" i="2"/>
  <c r="V30" i="2"/>
  <c r="V31" i="2"/>
  <c r="V32" i="2"/>
  <c r="V33" i="2"/>
  <c r="W363" i="33"/>
  <c r="T362" i="33"/>
  <c r="T361" i="33"/>
  <c r="T360" i="33"/>
  <c r="T359" i="33"/>
  <c r="T358" i="33"/>
  <c r="T357" i="33"/>
  <c r="T356" i="33"/>
  <c r="T355" i="33"/>
  <c r="T354" i="33"/>
  <c r="T353" i="33"/>
  <c r="T352" i="33"/>
  <c r="T351" i="33"/>
  <c r="T350" i="33"/>
  <c r="T349" i="33"/>
  <c r="T348" i="33"/>
  <c r="T347" i="33"/>
  <c r="T346" i="33"/>
  <c r="T345" i="33"/>
  <c r="T344" i="33"/>
  <c r="T343" i="33"/>
  <c r="T342" i="33"/>
  <c r="T341" i="33"/>
  <c r="T340" i="33"/>
  <c r="T339" i="33"/>
  <c r="T338" i="33"/>
  <c r="T337" i="33"/>
  <c r="T336" i="33"/>
  <c r="T335" i="33"/>
  <c r="T334" i="33"/>
  <c r="T333" i="33"/>
  <c r="T332" i="33"/>
  <c r="T331" i="33"/>
  <c r="T330" i="33"/>
  <c r="T329" i="33"/>
  <c r="T328" i="33"/>
  <c r="T327" i="33"/>
  <c r="T326" i="33"/>
  <c r="T325" i="33"/>
  <c r="T324" i="33"/>
  <c r="T323" i="33"/>
  <c r="T322" i="33"/>
  <c r="T321" i="33"/>
  <c r="T320" i="33"/>
  <c r="T319" i="33"/>
  <c r="T318" i="33"/>
  <c r="T317" i="33"/>
  <c r="T316" i="33"/>
  <c r="T315" i="33"/>
  <c r="T314" i="33"/>
  <c r="T313" i="33"/>
  <c r="T312" i="33"/>
  <c r="T311" i="33"/>
  <c r="T310" i="33"/>
  <c r="T309" i="33"/>
  <c r="T308" i="33"/>
  <c r="T307" i="33"/>
  <c r="T306" i="33"/>
  <c r="T305" i="33"/>
  <c r="T304" i="33"/>
  <c r="T303" i="33"/>
  <c r="T302" i="33"/>
  <c r="T301" i="33"/>
  <c r="T300" i="33"/>
  <c r="T299" i="33"/>
  <c r="T298" i="33"/>
  <c r="T297" i="33"/>
  <c r="T296" i="33"/>
  <c r="T295" i="33"/>
  <c r="T294" i="33"/>
  <c r="T293" i="33"/>
  <c r="T292" i="33"/>
  <c r="T291" i="33"/>
  <c r="T290" i="33"/>
  <c r="T289" i="33"/>
  <c r="T288" i="33"/>
  <c r="T287" i="33"/>
  <c r="T286" i="33"/>
  <c r="T285" i="33"/>
  <c r="T284" i="33"/>
  <c r="T283" i="33"/>
  <c r="T282" i="33"/>
  <c r="T281" i="33"/>
  <c r="T280" i="33"/>
  <c r="T279" i="33"/>
  <c r="T278" i="33"/>
  <c r="T277" i="33"/>
  <c r="T276" i="33"/>
  <c r="T275" i="33"/>
  <c r="T274" i="33"/>
  <c r="T273" i="33"/>
  <c r="T272" i="33"/>
  <c r="T271" i="33"/>
  <c r="T270" i="33"/>
  <c r="T269" i="33"/>
  <c r="T268" i="33"/>
  <c r="T267" i="33"/>
  <c r="T266" i="33"/>
  <c r="T265" i="33"/>
  <c r="T264" i="33"/>
  <c r="T263" i="33"/>
  <c r="T262" i="33"/>
  <c r="T261" i="33"/>
  <c r="T260" i="33"/>
  <c r="T259" i="33"/>
  <c r="T258" i="33"/>
  <c r="T257" i="33"/>
  <c r="T256" i="33"/>
  <c r="T255" i="33"/>
  <c r="T254" i="33"/>
  <c r="T253" i="33"/>
  <c r="T252" i="33"/>
  <c r="T251" i="33"/>
  <c r="T250" i="33"/>
  <c r="T249" i="33"/>
  <c r="T248" i="33"/>
  <c r="T247" i="33"/>
  <c r="T246" i="33"/>
  <c r="T245" i="33"/>
  <c r="T244" i="33"/>
  <c r="T243" i="33"/>
  <c r="T242" i="33"/>
  <c r="T241" i="33"/>
  <c r="T240" i="33"/>
  <c r="T239" i="33"/>
  <c r="T238" i="33"/>
  <c r="T237" i="33"/>
  <c r="T236" i="33"/>
  <c r="T235" i="33"/>
  <c r="T234" i="33"/>
  <c r="T233" i="33"/>
  <c r="T232" i="33"/>
  <c r="T231" i="33"/>
  <c r="T230" i="33"/>
  <c r="T229" i="33"/>
  <c r="T228" i="33"/>
  <c r="T227" i="33"/>
  <c r="T226" i="33"/>
  <c r="T225" i="33"/>
  <c r="T224" i="33"/>
  <c r="T223" i="33"/>
  <c r="T222" i="33"/>
  <c r="T221" i="33"/>
  <c r="T220" i="33"/>
  <c r="T219" i="33"/>
  <c r="T218" i="33"/>
  <c r="T217" i="33"/>
  <c r="T216" i="33"/>
  <c r="T215" i="33"/>
  <c r="T214" i="33"/>
  <c r="T213" i="33"/>
  <c r="T212" i="33"/>
  <c r="T211" i="33"/>
  <c r="T210" i="33"/>
  <c r="T209" i="33"/>
  <c r="T208" i="33"/>
  <c r="T207" i="33"/>
  <c r="T206" i="33"/>
  <c r="T205" i="33"/>
  <c r="T204" i="33"/>
  <c r="T203" i="33"/>
  <c r="T202" i="33"/>
  <c r="T201" i="33"/>
  <c r="T200" i="33"/>
  <c r="T199" i="33"/>
  <c r="T198" i="33"/>
  <c r="T197" i="33"/>
  <c r="T196" i="33"/>
  <c r="T195" i="33"/>
  <c r="T194" i="33"/>
  <c r="T193" i="33"/>
  <c r="T192" i="33"/>
  <c r="T191" i="33"/>
  <c r="T190" i="33"/>
  <c r="T189" i="33"/>
  <c r="T188" i="33"/>
  <c r="T187" i="33"/>
  <c r="T186" i="33"/>
  <c r="T185" i="33"/>
  <c r="T184" i="33"/>
  <c r="T183" i="33"/>
  <c r="T182" i="33"/>
  <c r="T181" i="33"/>
  <c r="T180" i="33"/>
  <c r="T179" i="33"/>
  <c r="T178" i="33"/>
  <c r="T177" i="33"/>
  <c r="T176" i="33"/>
  <c r="T175" i="33"/>
  <c r="T174" i="33"/>
  <c r="T173" i="33"/>
  <c r="T172" i="33"/>
  <c r="T171" i="33"/>
  <c r="T170" i="33"/>
  <c r="T169" i="33"/>
  <c r="T168" i="33"/>
  <c r="T167" i="33"/>
  <c r="T166" i="33"/>
  <c r="T165" i="33"/>
  <c r="T164" i="33"/>
  <c r="T163" i="33"/>
  <c r="T162" i="33"/>
  <c r="T161" i="33"/>
  <c r="T160" i="33"/>
  <c r="T159" i="33"/>
  <c r="T158" i="33"/>
  <c r="T157" i="33"/>
  <c r="T156" i="33"/>
  <c r="T155" i="33"/>
  <c r="T154" i="33"/>
  <c r="T153" i="33"/>
  <c r="T152" i="33"/>
  <c r="T151" i="33"/>
  <c r="T150" i="33"/>
  <c r="T149" i="33"/>
  <c r="T148" i="33"/>
  <c r="T147" i="33"/>
  <c r="T146" i="33"/>
  <c r="T145" i="33"/>
  <c r="T144" i="33"/>
  <c r="T143" i="33"/>
  <c r="T142" i="33"/>
  <c r="T141" i="33"/>
  <c r="T140" i="33"/>
  <c r="T139" i="33"/>
  <c r="T138" i="33"/>
  <c r="T137" i="33"/>
  <c r="T136" i="33"/>
  <c r="T135" i="33"/>
  <c r="T134" i="33"/>
  <c r="T133" i="33"/>
  <c r="T132" i="33"/>
  <c r="T131" i="33"/>
  <c r="T130" i="33"/>
  <c r="T129" i="33"/>
  <c r="T128" i="33"/>
  <c r="T127" i="33"/>
  <c r="T126" i="33"/>
  <c r="T125" i="33"/>
  <c r="T124" i="33"/>
  <c r="T123" i="33"/>
  <c r="T122" i="33"/>
  <c r="T121" i="33"/>
  <c r="T120" i="33"/>
  <c r="T119" i="33"/>
  <c r="T118" i="33"/>
  <c r="T117" i="33"/>
  <c r="T116" i="33"/>
  <c r="T115" i="33"/>
  <c r="T114" i="33"/>
  <c r="T113" i="33"/>
  <c r="T112" i="33"/>
  <c r="T111" i="33"/>
  <c r="T110" i="33"/>
  <c r="T109" i="33"/>
  <c r="T108" i="33"/>
  <c r="T107" i="33"/>
  <c r="T106" i="33"/>
  <c r="T105" i="33"/>
  <c r="T104" i="33"/>
  <c r="T103" i="33"/>
  <c r="T102" i="33"/>
  <c r="T101" i="33"/>
  <c r="T100" i="33"/>
  <c r="T99" i="33"/>
  <c r="T98" i="33"/>
  <c r="T97" i="33"/>
  <c r="T96" i="33"/>
  <c r="T95" i="33"/>
  <c r="T94" i="33"/>
  <c r="T93" i="33"/>
  <c r="T92" i="33"/>
  <c r="T91" i="33"/>
  <c r="T90" i="33"/>
  <c r="T89" i="33"/>
  <c r="T88" i="33"/>
  <c r="T87" i="33"/>
  <c r="T86" i="33"/>
  <c r="T85" i="33"/>
  <c r="T84" i="33"/>
  <c r="T83" i="33"/>
  <c r="T82" i="33"/>
  <c r="T81" i="33"/>
  <c r="T80" i="33"/>
  <c r="T79" i="33"/>
  <c r="T78" i="33"/>
  <c r="T77" i="33"/>
  <c r="T76" i="33"/>
  <c r="T75" i="33"/>
  <c r="T74" i="33"/>
  <c r="T73" i="33"/>
  <c r="T72" i="33"/>
  <c r="T71" i="33"/>
  <c r="T70" i="33"/>
  <c r="T69" i="33"/>
  <c r="T68" i="33"/>
  <c r="T67" i="33"/>
  <c r="T66" i="33"/>
  <c r="T65" i="33"/>
  <c r="T64" i="33"/>
  <c r="T63" i="33"/>
  <c r="T62" i="33"/>
  <c r="T61" i="33"/>
  <c r="T60" i="33"/>
  <c r="T59" i="33"/>
  <c r="T58" i="33"/>
  <c r="T57" i="33"/>
  <c r="T56" i="33"/>
  <c r="T55" i="33"/>
  <c r="T54" i="33"/>
  <c r="T53" i="33"/>
  <c r="T52" i="33"/>
  <c r="T51" i="33"/>
  <c r="T50" i="33"/>
  <c r="T49" i="33"/>
  <c r="T48" i="33"/>
  <c r="T47" i="33"/>
  <c r="T46" i="33"/>
  <c r="T45" i="33"/>
  <c r="T44" i="33"/>
  <c r="T43" i="33"/>
  <c r="T42" i="33"/>
  <c r="T41" i="33"/>
  <c r="T40" i="33"/>
  <c r="T39" i="33"/>
  <c r="T38" i="33"/>
  <c r="T37" i="33"/>
  <c r="T36" i="33"/>
  <c r="T35" i="33"/>
  <c r="T34" i="33"/>
  <c r="T33" i="33"/>
  <c r="T32" i="33"/>
  <c r="T31" i="33"/>
  <c r="T30" i="33"/>
  <c r="T29" i="33"/>
  <c r="T28" i="33"/>
  <c r="T27" i="33"/>
  <c r="T26" i="33"/>
  <c r="T25" i="33"/>
  <c r="T24" i="33"/>
  <c r="T23" i="33"/>
  <c r="T22" i="33"/>
  <c r="T21" i="33"/>
  <c r="T20" i="33"/>
  <c r="T19" i="33"/>
  <c r="T18" i="33"/>
  <c r="T17" i="33"/>
  <c r="T16" i="33"/>
  <c r="T15" i="33"/>
  <c r="T14" i="33"/>
  <c r="T13" i="33"/>
  <c r="T12" i="33"/>
  <c r="T11" i="33"/>
  <c r="T10" i="33"/>
  <c r="T9" i="33"/>
  <c r="T8" i="33"/>
  <c r="T7" i="33"/>
  <c r="T6" i="33"/>
  <c r="T5" i="33"/>
  <c r="T4" i="33"/>
  <c r="T3" i="33"/>
  <c r="F363" i="33"/>
  <c r="W362" i="33"/>
  <c r="W361" i="33"/>
  <c r="W360" i="33"/>
  <c r="W359" i="33"/>
  <c r="W358" i="33"/>
  <c r="W357" i="33"/>
  <c r="W356" i="33"/>
  <c r="W355" i="33"/>
  <c r="W354" i="33"/>
  <c r="W353" i="33"/>
  <c r="W352" i="33"/>
  <c r="W351" i="33"/>
  <c r="W350" i="33"/>
  <c r="W349" i="33"/>
  <c r="W348" i="33"/>
  <c r="W347" i="33"/>
  <c r="W346" i="33"/>
  <c r="W345" i="33"/>
  <c r="W344" i="33"/>
  <c r="W343" i="33"/>
  <c r="W342" i="33"/>
  <c r="W341" i="33"/>
  <c r="W340" i="33"/>
  <c r="W339" i="33"/>
  <c r="W338" i="33"/>
  <c r="W337" i="33"/>
  <c r="W336" i="33"/>
  <c r="W335" i="33"/>
  <c r="W334" i="33"/>
  <c r="W333" i="33"/>
  <c r="W332" i="33"/>
  <c r="W331" i="33"/>
  <c r="W330" i="33"/>
  <c r="W329" i="33"/>
  <c r="W328" i="33"/>
  <c r="W327" i="33"/>
  <c r="W326" i="33"/>
  <c r="W325" i="33"/>
  <c r="W324" i="33"/>
  <c r="W323" i="33"/>
  <c r="W322" i="33"/>
  <c r="W321" i="33"/>
  <c r="W320" i="33"/>
  <c r="W319" i="33"/>
  <c r="W318" i="33"/>
  <c r="W317" i="33"/>
  <c r="W316" i="33"/>
  <c r="W315" i="33"/>
  <c r="W314" i="33"/>
  <c r="W313" i="33"/>
  <c r="W312" i="33"/>
  <c r="W311" i="33"/>
  <c r="W310" i="33"/>
  <c r="W309" i="33"/>
  <c r="W308" i="33"/>
  <c r="W307" i="33"/>
  <c r="W306" i="33"/>
  <c r="W305" i="33"/>
  <c r="W304" i="33"/>
  <c r="W303" i="33"/>
  <c r="W302" i="33"/>
  <c r="W301" i="33"/>
  <c r="W300" i="33"/>
  <c r="W299" i="33"/>
  <c r="W298" i="33"/>
  <c r="W297" i="33"/>
  <c r="W296" i="33"/>
  <c r="W295" i="33"/>
  <c r="W294" i="33"/>
  <c r="W293" i="33"/>
  <c r="W292" i="33"/>
  <c r="W291" i="33"/>
  <c r="W290" i="33"/>
  <c r="W289" i="33"/>
  <c r="W288" i="33"/>
  <c r="W287" i="33"/>
  <c r="W286" i="33"/>
  <c r="W285" i="33"/>
  <c r="W284" i="33"/>
  <c r="W283" i="33"/>
  <c r="W282" i="33"/>
  <c r="W281" i="33"/>
  <c r="W280" i="33"/>
  <c r="W279" i="33"/>
  <c r="W278" i="33"/>
  <c r="W277" i="33"/>
  <c r="W276" i="33"/>
  <c r="W275" i="33"/>
  <c r="W274" i="33"/>
  <c r="W273" i="33"/>
  <c r="W272" i="33"/>
  <c r="W271" i="33"/>
  <c r="W270" i="33"/>
  <c r="W269" i="33"/>
  <c r="W268" i="33"/>
  <c r="W267" i="33"/>
  <c r="W266" i="33"/>
  <c r="W265" i="33"/>
  <c r="W264" i="33"/>
  <c r="W263" i="33"/>
  <c r="W262" i="33"/>
  <c r="W261" i="33"/>
  <c r="W260" i="33"/>
  <c r="W259" i="33"/>
  <c r="W258" i="33"/>
  <c r="W257" i="33"/>
  <c r="W256" i="33"/>
  <c r="W255" i="33"/>
  <c r="W254" i="33"/>
  <c r="W253" i="33"/>
  <c r="W252" i="33"/>
  <c r="W251" i="33"/>
  <c r="W250" i="33"/>
  <c r="W249" i="33"/>
  <c r="W248" i="33"/>
  <c r="W247" i="33"/>
  <c r="W246" i="33"/>
  <c r="W245" i="33"/>
  <c r="W244" i="33"/>
  <c r="W243" i="33"/>
  <c r="W242" i="33"/>
  <c r="W241" i="33"/>
  <c r="W240" i="33"/>
  <c r="W239" i="33"/>
  <c r="W238" i="33"/>
  <c r="W237" i="33"/>
  <c r="W236" i="33"/>
  <c r="W235" i="33"/>
  <c r="W234" i="33"/>
  <c r="W233" i="33"/>
  <c r="W232" i="33"/>
  <c r="W231" i="33"/>
  <c r="W230" i="33"/>
  <c r="W229" i="33"/>
  <c r="W228" i="33"/>
  <c r="W227" i="33"/>
  <c r="W226" i="33"/>
  <c r="W225" i="33"/>
  <c r="W224" i="33"/>
  <c r="W223" i="33"/>
  <c r="W222" i="33"/>
  <c r="W221" i="33"/>
  <c r="W220" i="33"/>
  <c r="W219" i="33"/>
  <c r="W218" i="33"/>
  <c r="W217" i="33"/>
  <c r="W216" i="33"/>
  <c r="W215" i="33"/>
  <c r="W214" i="33"/>
  <c r="W213" i="33"/>
  <c r="W212" i="33"/>
  <c r="W211" i="33"/>
  <c r="W210" i="33"/>
  <c r="W209" i="33"/>
  <c r="W208" i="33"/>
  <c r="W207" i="33"/>
  <c r="W206" i="33"/>
  <c r="W205" i="33"/>
  <c r="W204" i="33"/>
  <c r="W203" i="33"/>
  <c r="W202" i="33"/>
  <c r="W201" i="33"/>
  <c r="W200" i="33"/>
  <c r="W199" i="33"/>
  <c r="W198" i="33"/>
  <c r="W197" i="33"/>
  <c r="W196" i="33"/>
  <c r="W195" i="33"/>
  <c r="W194" i="33"/>
  <c r="W193" i="33"/>
  <c r="W192" i="33"/>
  <c r="W191" i="33"/>
  <c r="W190" i="33"/>
  <c r="W189" i="33"/>
  <c r="W188" i="33"/>
  <c r="W187" i="33"/>
  <c r="W186" i="33"/>
  <c r="W185" i="33"/>
  <c r="W184" i="33"/>
  <c r="W183" i="33"/>
  <c r="W182" i="33"/>
  <c r="W181" i="33"/>
  <c r="W180" i="33"/>
  <c r="W179" i="33"/>
  <c r="W178" i="33"/>
  <c r="W177" i="33"/>
  <c r="W176" i="33"/>
  <c r="W175" i="33"/>
  <c r="W174" i="33"/>
  <c r="W173" i="33"/>
  <c r="W172" i="33"/>
  <c r="W171" i="33"/>
  <c r="W170" i="33"/>
  <c r="W169" i="33"/>
  <c r="W168" i="33"/>
  <c r="W167" i="33"/>
  <c r="W166" i="33"/>
  <c r="W165" i="33"/>
  <c r="W164" i="33"/>
  <c r="W163" i="33"/>
  <c r="W162" i="33"/>
  <c r="W161" i="33"/>
  <c r="W160" i="33"/>
  <c r="W159" i="33"/>
  <c r="W158" i="33"/>
  <c r="W157" i="33"/>
  <c r="W156" i="33"/>
  <c r="W155" i="33"/>
  <c r="W154" i="33"/>
  <c r="W153" i="33"/>
  <c r="W152" i="33"/>
  <c r="W151" i="33"/>
  <c r="W150" i="33"/>
  <c r="W149" i="33"/>
  <c r="W148" i="33"/>
  <c r="W147" i="33"/>
  <c r="W146" i="33"/>
  <c r="W145" i="33"/>
  <c r="W144" i="33"/>
  <c r="W143" i="33"/>
  <c r="W142" i="33"/>
  <c r="W141" i="33"/>
  <c r="W140" i="33"/>
  <c r="W139" i="33"/>
  <c r="W138" i="33"/>
  <c r="W137" i="33"/>
  <c r="W136" i="33"/>
  <c r="W135" i="33"/>
  <c r="W134" i="33"/>
  <c r="W133" i="33"/>
  <c r="W132" i="33"/>
  <c r="W131" i="33"/>
  <c r="W130" i="33"/>
  <c r="W129" i="33"/>
  <c r="W128" i="33"/>
  <c r="W127" i="33"/>
  <c r="W126" i="33"/>
  <c r="W125" i="33"/>
  <c r="W124" i="33"/>
  <c r="W123" i="33"/>
  <c r="W122" i="33"/>
  <c r="W121" i="33"/>
  <c r="W120" i="33"/>
  <c r="W119" i="33"/>
  <c r="W118" i="33"/>
  <c r="W117" i="33"/>
  <c r="W116" i="33"/>
  <c r="W115" i="33"/>
  <c r="W114" i="33"/>
  <c r="W113" i="33"/>
  <c r="W112" i="33"/>
  <c r="W111" i="33"/>
  <c r="W110" i="33"/>
  <c r="W109" i="33"/>
  <c r="W108" i="33"/>
  <c r="W107" i="33"/>
  <c r="W106" i="33"/>
  <c r="W105" i="33"/>
  <c r="W104" i="33"/>
  <c r="W103" i="33"/>
  <c r="W102" i="33"/>
  <c r="W101" i="33"/>
  <c r="W100" i="33"/>
  <c r="W99" i="33"/>
  <c r="W98" i="33"/>
  <c r="W97" i="33"/>
  <c r="W96" i="33"/>
  <c r="W95" i="33"/>
  <c r="W94" i="33"/>
  <c r="W93" i="33"/>
  <c r="W92" i="33"/>
  <c r="W91" i="33"/>
  <c r="W90" i="33"/>
  <c r="W89" i="33"/>
  <c r="W88" i="33"/>
  <c r="W87" i="33"/>
  <c r="W86" i="33"/>
  <c r="W85" i="33"/>
  <c r="W84" i="33"/>
  <c r="W83" i="33"/>
  <c r="W82" i="33"/>
  <c r="W81" i="33"/>
  <c r="W80" i="33"/>
  <c r="W79" i="33"/>
  <c r="W78" i="33"/>
  <c r="W77" i="33"/>
  <c r="W76" i="33"/>
  <c r="W75" i="33"/>
  <c r="W74" i="33"/>
  <c r="W73" i="33"/>
  <c r="W72" i="33"/>
  <c r="W71" i="33"/>
  <c r="W70" i="33"/>
  <c r="W69" i="33"/>
  <c r="W68" i="33"/>
  <c r="W67" i="33"/>
  <c r="W66" i="33"/>
  <c r="W65" i="33"/>
  <c r="W64" i="33"/>
  <c r="W63" i="33"/>
  <c r="W62" i="33"/>
  <c r="W61" i="33"/>
  <c r="W60" i="33"/>
  <c r="W59" i="33"/>
  <c r="W58" i="33"/>
  <c r="W57" i="33"/>
  <c r="W56" i="33"/>
  <c r="W55" i="33"/>
  <c r="W54" i="33"/>
  <c r="W53" i="33"/>
  <c r="W52" i="33"/>
  <c r="W51" i="33"/>
  <c r="W50" i="33"/>
  <c r="W49" i="33"/>
  <c r="W48" i="33"/>
  <c r="W47" i="33"/>
  <c r="W46" i="33"/>
  <c r="W45" i="33"/>
  <c r="W44" i="33"/>
  <c r="W43" i="33"/>
  <c r="W42" i="33"/>
  <c r="W41" i="33"/>
  <c r="W40" i="33"/>
  <c r="W39" i="33"/>
  <c r="W38" i="33"/>
  <c r="W37" i="33"/>
  <c r="W36" i="33"/>
  <c r="W35" i="33"/>
  <c r="W34" i="33"/>
  <c r="W33" i="33"/>
  <c r="W32" i="33"/>
  <c r="W31" i="33"/>
  <c r="W30" i="33"/>
  <c r="W29" i="33"/>
  <c r="W28" i="33"/>
  <c r="W27" i="33"/>
  <c r="W26" i="33"/>
  <c r="W25" i="33"/>
  <c r="W24" i="33"/>
  <c r="W23" i="33"/>
  <c r="W22" i="33"/>
  <c r="W21" i="33"/>
  <c r="W20" i="33"/>
  <c r="W19" i="33"/>
  <c r="W18" i="33"/>
  <c r="W17" i="33"/>
  <c r="W16" i="33"/>
  <c r="W15" i="33"/>
  <c r="W14" i="33"/>
  <c r="W13" i="33"/>
  <c r="W12" i="33"/>
  <c r="W11" i="33"/>
  <c r="W10" i="33"/>
  <c r="W9" i="33"/>
  <c r="W8" i="33"/>
  <c r="W7" i="33"/>
  <c r="W6" i="33"/>
  <c r="W5" i="33"/>
  <c r="W4" i="33"/>
  <c r="W3" i="33"/>
  <c r="Z363" i="33"/>
  <c r="AC363" i="33"/>
  <c r="Z362" i="33"/>
  <c r="Z361" i="33"/>
  <c r="Z360" i="33"/>
  <c r="Z359" i="33"/>
  <c r="Z358" i="33"/>
  <c r="Z357" i="33"/>
  <c r="Z356" i="33"/>
  <c r="Z355" i="33"/>
  <c r="Z354" i="33"/>
  <c r="Z353" i="33"/>
  <c r="Z352" i="33"/>
  <c r="Z351" i="33"/>
  <c r="Z350" i="33"/>
  <c r="Z349" i="33"/>
  <c r="Z348" i="33"/>
  <c r="Z347" i="33"/>
  <c r="Z346" i="33"/>
  <c r="Z345" i="33"/>
  <c r="Z344" i="33"/>
  <c r="Z343" i="33"/>
  <c r="Z342" i="33"/>
  <c r="Z341" i="33"/>
  <c r="Z340" i="33"/>
  <c r="Z339" i="33"/>
  <c r="Z338" i="33"/>
  <c r="Z337" i="33"/>
  <c r="Z336" i="33"/>
  <c r="Z335" i="33"/>
  <c r="Z334" i="33"/>
  <c r="Z333" i="33"/>
  <c r="Z332" i="33"/>
  <c r="Z331" i="33"/>
  <c r="Z330" i="33"/>
  <c r="Z329" i="33"/>
  <c r="Z328" i="33"/>
  <c r="Z327" i="33"/>
  <c r="Z326" i="33"/>
  <c r="Z325" i="33"/>
  <c r="Z324" i="33"/>
  <c r="Z323" i="33"/>
  <c r="Z322" i="33"/>
  <c r="Z321" i="33"/>
  <c r="Z320" i="33"/>
  <c r="Z319" i="33"/>
  <c r="Z318" i="33"/>
  <c r="Z317" i="33"/>
  <c r="Z316" i="33"/>
  <c r="Z315" i="33"/>
  <c r="Z314" i="33"/>
  <c r="Z313" i="33"/>
  <c r="Z312" i="33"/>
  <c r="Z311" i="33"/>
  <c r="Z310" i="33"/>
  <c r="Z309" i="33"/>
  <c r="Z308" i="33"/>
  <c r="Z307" i="33"/>
  <c r="Z306" i="33"/>
  <c r="Z305" i="33"/>
  <c r="Z304" i="33"/>
  <c r="Z303" i="33"/>
  <c r="Z302" i="33"/>
  <c r="Z301" i="33"/>
  <c r="Z300" i="33"/>
  <c r="Z299" i="33"/>
  <c r="Z298" i="33"/>
  <c r="Z297" i="33"/>
  <c r="Z296" i="33"/>
  <c r="Z295" i="33"/>
  <c r="Z294" i="33"/>
  <c r="Z293" i="33"/>
  <c r="Z292" i="33"/>
  <c r="Z291" i="33"/>
  <c r="Z290" i="33"/>
  <c r="Z289" i="33"/>
  <c r="Z288" i="33"/>
  <c r="Z287" i="33"/>
  <c r="Z286" i="33"/>
  <c r="Z285" i="33"/>
  <c r="Z284" i="33"/>
  <c r="Z283" i="33"/>
  <c r="Z282" i="33"/>
  <c r="Z281" i="33"/>
  <c r="Z280" i="33"/>
  <c r="Z279" i="33"/>
  <c r="Z278" i="33"/>
  <c r="Z277" i="33"/>
  <c r="Z276" i="33"/>
  <c r="Z275" i="33"/>
  <c r="Z274" i="33"/>
  <c r="Z273" i="33"/>
  <c r="Z272" i="33"/>
  <c r="Z271" i="33"/>
  <c r="Z270" i="33"/>
  <c r="Z269" i="33"/>
  <c r="Z268" i="33"/>
  <c r="Z267" i="33"/>
  <c r="Z266" i="33"/>
  <c r="Z265" i="33"/>
  <c r="Z264" i="33"/>
  <c r="Z263" i="33"/>
  <c r="Z262" i="33"/>
  <c r="Z261" i="33"/>
  <c r="Z260" i="33"/>
  <c r="Z259" i="33"/>
  <c r="Z258" i="33"/>
  <c r="Z257" i="33"/>
  <c r="Z256" i="33"/>
  <c r="Z255" i="33"/>
  <c r="Z254" i="33"/>
  <c r="Z253" i="33"/>
  <c r="Z252" i="33"/>
  <c r="Z251" i="33"/>
  <c r="Z250" i="33"/>
  <c r="Z249" i="33"/>
  <c r="Z248" i="33"/>
  <c r="Z247" i="33"/>
  <c r="Z246" i="33"/>
  <c r="Z245" i="33"/>
  <c r="Z244" i="33"/>
  <c r="Z243" i="33"/>
  <c r="Z242" i="33"/>
  <c r="Z241" i="33"/>
  <c r="Z240" i="33"/>
  <c r="Z239" i="33"/>
  <c r="Z238" i="33"/>
  <c r="Z237" i="33"/>
  <c r="Z236" i="33"/>
  <c r="Z235" i="33"/>
  <c r="Z234" i="33"/>
  <c r="Z233" i="33"/>
  <c r="Z232" i="33"/>
  <c r="Z231" i="33"/>
  <c r="Z230" i="33"/>
  <c r="Z229" i="33"/>
  <c r="Z228" i="33"/>
  <c r="Z227" i="33"/>
  <c r="Z226" i="33"/>
  <c r="Z225" i="33"/>
  <c r="Z224" i="33"/>
  <c r="Z223" i="33"/>
  <c r="Z222" i="33"/>
  <c r="Z221" i="33"/>
  <c r="Z220" i="33"/>
  <c r="Z219" i="33"/>
  <c r="Z218" i="33"/>
  <c r="Z217" i="33"/>
  <c r="Z216" i="33"/>
  <c r="Z215" i="33"/>
  <c r="Z214" i="33"/>
  <c r="Z213" i="33"/>
  <c r="Z212" i="33"/>
  <c r="Z211" i="33"/>
  <c r="Z210" i="33"/>
  <c r="Z209" i="33"/>
  <c r="Z208" i="33"/>
  <c r="Z207" i="33"/>
  <c r="Z206" i="33"/>
  <c r="Z205" i="33"/>
  <c r="Z204" i="33"/>
  <c r="Z203" i="33"/>
  <c r="Z202" i="33"/>
  <c r="Z201" i="33"/>
  <c r="Z200" i="33"/>
  <c r="Z199" i="33"/>
  <c r="Z198" i="33"/>
  <c r="Z197" i="33"/>
  <c r="Z196" i="33"/>
  <c r="Z195" i="33"/>
  <c r="Z194" i="33"/>
  <c r="Z193" i="33"/>
  <c r="Z192" i="33"/>
  <c r="Z191" i="33"/>
  <c r="Z190" i="33"/>
  <c r="Z189" i="33"/>
  <c r="Z188" i="33"/>
  <c r="Z187" i="33"/>
  <c r="Z186" i="33"/>
  <c r="Z185" i="33"/>
  <c r="Z184" i="33"/>
  <c r="Z183" i="33"/>
  <c r="Z182" i="33"/>
  <c r="Z181" i="33"/>
  <c r="Z180" i="33"/>
  <c r="Z179" i="33"/>
  <c r="Z178" i="33"/>
  <c r="Z177" i="33"/>
  <c r="Z176" i="33"/>
  <c r="Z175" i="33"/>
  <c r="Z174" i="33"/>
  <c r="Z173" i="33"/>
  <c r="Z172" i="33"/>
  <c r="Z171" i="33"/>
  <c r="Z170" i="33"/>
  <c r="Z169" i="33"/>
  <c r="Z168" i="33"/>
  <c r="Z167" i="33"/>
  <c r="Z166" i="33"/>
  <c r="Z165" i="33"/>
  <c r="Z164" i="33"/>
  <c r="Z163" i="33"/>
  <c r="Z162" i="33"/>
  <c r="Z161" i="33"/>
  <c r="Z160" i="33"/>
  <c r="Z159" i="33"/>
  <c r="Z158" i="33"/>
  <c r="Z157" i="33"/>
  <c r="Z156" i="33"/>
  <c r="Z155" i="33"/>
  <c r="Z154" i="33"/>
  <c r="Z153" i="33"/>
  <c r="Z152" i="33"/>
  <c r="Z151" i="33"/>
  <c r="Z150" i="33"/>
  <c r="Z149" i="33"/>
  <c r="Z148" i="33"/>
  <c r="Z147" i="33"/>
  <c r="Z146" i="33"/>
  <c r="Z145" i="33"/>
  <c r="Z144" i="33"/>
  <c r="Z143" i="33"/>
  <c r="Z142" i="33"/>
  <c r="Z141" i="33"/>
  <c r="Z140" i="33"/>
  <c r="Z139" i="33"/>
  <c r="Z138" i="33"/>
  <c r="Z137" i="33"/>
  <c r="Z136" i="33"/>
  <c r="Z135" i="33"/>
  <c r="Z134" i="33"/>
  <c r="Z133" i="33"/>
  <c r="Z132" i="33"/>
  <c r="Z131" i="33"/>
  <c r="Z130" i="33"/>
  <c r="Z129" i="33"/>
  <c r="Z128" i="33"/>
  <c r="Z127" i="33"/>
  <c r="Z126" i="33"/>
  <c r="Z125" i="33"/>
  <c r="Z124" i="33"/>
  <c r="Z123" i="33"/>
  <c r="Z122" i="33"/>
  <c r="Z121" i="33"/>
  <c r="Z120" i="33"/>
  <c r="Z119" i="33"/>
  <c r="Z118" i="33"/>
  <c r="Z117" i="33"/>
  <c r="Z116" i="33"/>
  <c r="Z115" i="33"/>
  <c r="Z114" i="33"/>
  <c r="Z113" i="33"/>
  <c r="Z112" i="33"/>
  <c r="Z111" i="33"/>
  <c r="Z110" i="33"/>
  <c r="Z109" i="33"/>
  <c r="Z108" i="33"/>
  <c r="Z107" i="33"/>
  <c r="Z106" i="33"/>
  <c r="Z105" i="33"/>
  <c r="Z104" i="33"/>
  <c r="Z103" i="33"/>
  <c r="Z102" i="33"/>
  <c r="Z101" i="33"/>
  <c r="Z100" i="33"/>
  <c r="Z99" i="33"/>
  <c r="Z98" i="33"/>
  <c r="Z97" i="33"/>
  <c r="Z96" i="33"/>
  <c r="Z95" i="33"/>
  <c r="Z94" i="33"/>
  <c r="Z93" i="33"/>
  <c r="Z92" i="33"/>
  <c r="Z91" i="33"/>
  <c r="Z90" i="33"/>
  <c r="Z89" i="33"/>
  <c r="Z88" i="33"/>
  <c r="Z87" i="33"/>
  <c r="Z86" i="33"/>
  <c r="Z85" i="33"/>
  <c r="Z84" i="33"/>
  <c r="Z83" i="33"/>
  <c r="Z82" i="33"/>
  <c r="Z81" i="33"/>
  <c r="Z80" i="33"/>
  <c r="Z79" i="33"/>
  <c r="Z78" i="33"/>
  <c r="Z77" i="33"/>
  <c r="Z76" i="33"/>
  <c r="Z75" i="33"/>
  <c r="Z74" i="33"/>
  <c r="Z73" i="33"/>
  <c r="Z72" i="33"/>
  <c r="Z71" i="33"/>
  <c r="Z70" i="33"/>
  <c r="Z69" i="33"/>
  <c r="Z68" i="33"/>
  <c r="Z67" i="33"/>
  <c r="Z66" i="33"/>
  <c r="Z65" i="33"/>
  <c r="Z64" i="33"/>
  <c r="Z63" i="33"/>
  <c r="Z62" i="33"/>
  <c r="Z61" i="33"/>
  <c r="Z60" i="33"/>
  <c r="Z59" i="33"/>
  <c r="Z58" i="33"/>
  <c r="Z57" i="33"/>
  <c r="Z56" i="33"/>
  <c r="Z55" i="33"/>
  <c r="Z54" i="33"/>
  <c r="Z53" i="33"/>
  <c r="Z52" i="33"/>
  <c r="Z51" i="33"/>
  <c r="Z50" i="33"/>
  <c r="Z49" i="33"/>
  <c r="Z48" i="33"/>
  <c r="Z47" i="33"/>
  <c r="Z46" i="33"/>
  <c r="Z45" i="33"/>
  <c r="Z44" i="33"/>
  <c r="Z43" i="33"/>
  <c r="Z42" i="33"/>
  <c r="Z41" i="33"/>
  <c r="Z40" i="33"/>
  <c r="Z39" i="33"/>
  <c r="Z38" i="33"/>
  <c r="Z37" i="33"/>
  <c r="Z36" i="33"/>
  <c r="Z35" i="33"/>
  <c r="Z34" i="33"/>
  <c r="Z33" i="33"/>
  <c r="Z32" i="33"/>
  <c r="Z31" i="33"/>
  <c r="Z30" i="33"/>
  <c r="Z29" i="33"/>
  <c r="Z28" i="33"/>
  <c r="Z27" i="33"/>
  <c r="Z26" i="33"/>
  <c r="Z25" i="33"/>
  <c r="Z24" i="33"/>
  <c r="Z23" i="33"/>
  <c r="Z22" i="33"/>
  <c r="Z21" i="33"/>
  <c r="Z20" i="33"/>
  <c r="Z19" i="33"/>
  <c r="Z18" i="33"/>
  <c r="Z17" i="33"/>
  <c r="Z16" i="33"/>
  <c r="Z15" i="33"/>
  <c r="Z14" i="33"/>
  <c r="Z13" i="33"/>
  <c r="Z12" i="33"/>
  <c r="Z11" i="33"/>
  <c r="Z10" i="33"/>
  <c r="Z9" i="33"/>
  <c r="Z8" i="33"/>
  <c r="Z7" i="33"/>
  <c r="Z6" i="33"/>
  <c r="Z5" i="33"/>
  <c r="Z4" i="33"/>
  <c r="Z3" i="33"/>
  <c r="B6" i="25"/>
  <c r="A146" i="26"/>
  <c r="C146" i="26"/>
  <c r="G249" i="28"/>
  <c r="G248" i="28"/>
  <c r="G247" i="28"/>
  <c r="G246" i="28"/>
  <c r="G245" i="28"/>
  <c r="G244" i="28"/>
  <c r="G243" i="28"/>
  <c r="G242" i="28"/>
  <c r="G241" i="28"/>
  <c r="G240" i="28"/>
  <c r="G239" i="28"/>
  <c r="G238" i="28"/>
  <c r="G237" i="28"/>
  <c r="G236" i="28"/>
  <c r="G235" i="28"/>
  <c r="G234" i="28"/>
  <c r="G233" i="28"/>
  <c r="G232" i="28"/>
  <c r="G231" i="28"/>
  <c r="G230" i="28"/>
  <c r="G229" i="28"/>
  <c r="G228" i="28"/>
  <c r="G227" i="28"/>
  <c r="G226" i="28"/>
  <c r="G225" i="28"/>
  <c r="G224" i="28"/>
  <c r="G223" i="28"/>
  <c r="G222" i="28"/>
  <c r="G221" i="28"/>
  <c r="G220" i="28"/>
  <c r="G219" i="28"/>
  <c r="G218" i="28"/>
  <c r="G217" i="28"/>
  <c r="G216" i="28"/>
  <c r="G215" i="28"/>
  <c r="G214" i="28"/>
  <c r="G213" i="28"/>
  <c r="G212" i="28"/>
  <c r="G211" i="28"/>
  <c r="G210" i="28"/>
  <c r="G209" i="28"/>
  <c r="G208" i="28"/>
  <c r="G207" i="28"/>
  <c r="G206" i="28"/>
  <c r="G205" i="28"/>
  <c r="G204" i="28"/>
  <c r="G203" i="28"/>
  <c r="G202" i="28"/>
  <c r="G201" i="28"/>
  <c r="G200" i="28"/>
  <c r="G199" i="28"/>
  <c r="G198" i="28"/>
  <c r="G197" i="28"/>
  <c r="G196" i="28"/>
  <c r="G195" i="28"/>
  <c r="G194" i="28"/>
  <c r="G193" i="28"/>
  <c r="G192" i="28"/>
  <c r="G191" i="28"/>
  <c r="G190" i="28"/>
  <c r="G189" i="28"/>
  <c r="G188" i="28"/>
  <c r="G187" i="28"/>
  <c r="G186" i="28"/>
  <c r="G185" i="28"/>
  <c r="G184" i="28"/>
  <c r="G183" i="28"/>
  <c r="G182" i="28"/>
  <c r="G181" i="28"/>
  <c r="G180" i="28"/>
  <c r="G179" i="28"/>
  <c r="G178" i="28"/>
  <c r="G177" i="28"/>
  <c r="G176" i="28"/>
  <c r="G175" i="28"/>
  <c r="G174" i="28"/>
  <c r="G173" i="28"/>
  <c r="G172" i="28"/>
  <c r="G171" i="28"/>
  <c r="G170" i="28"/>
  <c r="G169" i="28"/>
  <c r="G168" i="28"/>
  <c r="G167" i="28"/>
  <c r="G166" i="28"/>
  <c r="G165" i="28"/>
  <c r="G164" i="28"/>
  <c r="G163" i="28"/>
  <c r="G162" i="28"/>
  <c r="G161" i="28"/>
  <c r="G160" i="28"/>
  <c r="G159" i="28"/>
  <c r="G158" i="28"/>
  <c r="G157" i="28"/>
  <c r="G156" i="28"/>
  <c r="G155" i="28"/>
  <c r="G154" i="28"/>
  <c r="G153" i="28"/>
  <c r="G152" i="28"/>
  <c r="G151" i="28"/>
  <c r="G150" i="28"/>
  <c r="G149" i="28"/>
  <c r="G148" i="28"/>
  <c r="G147" i="28"/>
  <c r="G146" i="28"/>
  <c r="G145" i="28"/>
  <c r="G144" i="28"/>
  <c r="G143" i="28"/>
  <c r="G142" i="28"/>
  <c r="G141" i="28"/>
  <c r="G140" i="28"/>
  <c r="G139" i="28"/>
  <c r="G138" i="28"/>
  <c r="G137" i="28"/>
  <c r="G136" i="28"/>
  <c r="G135" i="28"/>
  <c r="G134" i="28"/>
  <c r="G133" i="28"/>
  <c r="G132" i="28"/>
  <c r="G131" i="28"/>
  <c r="G130" i="28"/>
  <c r="G129" i="28"/>
  <c r="G128" i="28"/>
  <c r="G127" i="28"/>
  <c r="G126" i="28"/>
  <c r="G125" i="28"/>
  <c r="G124" i="28"/>
  <c r="G123" i="28"/>
  <c r="G122" i="28"/>
  <c r="G121" i="28"/>
  <c r="G120" i="28"/>
  <c r="G119" i="28"/>
  <c r="G118" i="28"/>
  <c r="G117" i="28"/>
  <c r="G116" i="28"/>
  <c r="G115" i="28"/>
  <c r="G114" i="28"/>
  <c r="G113" i="28"/>
  <c r="G112" i="28"/>
  <c r="G111" i="28"/>
  <c r="G110" i="28"/>
  <c r="G109" i="28"/>
  <c r="G108" i="28"/>
  <c r="G107" i="28"/>
  <c r="G106" i="28"/>
  <c r="G105" i="28"/>
  <c r="G104" i="28"/>
  <c r="G103" i="28"/>
  <c r="G102" i="28"/>
  <c r="G101" i="28"/>
  <c r="G100" i="28"/>
  <c r="G99" i="28"/>
  <c r="G98" i="28"/>
  <c r="G97" i="28"/>
  <c r="G96" i="28"/>
  <c r="G95" i="28"/>
  <c r="G94" i="28"/>
  <c r="G93" i="28"/>
  <c r="G92" i="28"/>
  <c r="G91" i="28"/>
  <c r="G90" i="28"/>
  <c r="G89" i="28"/>
  <c r="G88" i="28"/>
  <c r="G87" i="28"/>
  <c r="G86" i="28"/>
  <c r="G85" i="28"/>
  <c r="G84" i="28"/>
  <c r="G83" i="28"/>
  <c r="G82" i="28"/>
  <c r="G81" i="28"/>
  <c r="G80" i="28"/>
  <c r="G79" i="28"/>
  <c r="G78" i="28"/>
  <c r="G77" i="28"/>
  <c r="G76" i="28"/>
  <c r="G75" i="28"/>
  <c r="G74" i="28"/>
  <c r="G73" i="28"/>
  <c r="G72" i="28"/>
  <c r="G71" i="28"/>
  <c r="G70" i="28"/>
  <c r="G69" i="28"/>
  <c r="G68" i="28"/>
  <c r="G67" i="28"/>
  <c r="G66" i="28"/>
  <c r="G65" i="28"/>
  <c r="G64" i="28"/>
  <c r="G63" i="28"/>
  <c r="G62" i="28"/>
  <c r="G61" i="28"/>
  <c r="G60" i="28"/>
  <c r="G59" i="28"/>
  <c r="G58" i="28"/>
  <c r="G57" i="28"/>
  <c r="G56" i="28"/>
  <c r="G55" i="28"/>
  <c r="G54" i="28"/>
  <c r="G53" i="28"/>
  <c r="G52" i="28"/>
  <c r="G51" i="28"/>
  <c r="G50" i="28"/>
  <c r="G49" i="28"/>
  <c r="G48" i="28"/>
  <c r="G47" i="28"/>
  <c r="G46" i="28"/>
  <c r="G45" i="28"/>
  <c r="G44" i="28"/>
  <c r="G43" i="28"/>
  <c r="G42" i="28"/>
  <c r="G41" i="28"/>
  <c r="G40" i="28"/>
  <c r="G39" i="28"/>
  <c r="G38" i="28"/>
  <c r="G37" i="28"/>
  <c r="G36" i="28"/>
  <c r="G35" i="28"/>
  <c r="G34" i="28"/>
  <c r="G33" i="28"/>
  <c r="G32" i="28"/>
  <c r="G31" i="28"/>
  <c r="G30" i="28"/>
  <c r="G29" i="28"/>
  <c r="G28" i="28"/>
  <c r="G27" i="28"/>
  <c r="G26" i="28"/>
  <c r="G25" i="28"/>
  <c r="G24" i="28"/>
  <c r="G23" i="28"/>
  <c r="G22" i="28"/>
  <c r="G21" i="28"/>
  <c r="G20" i="28"/>
  <c r="G19" i="28"/>
  <c r="G18" i="28"/>
  <c r="G17" i="28"/>
  <c r="G16" i="28"/>
  <c r="G15" i="28"/>
  <c r="G14" i="28"/>
  <c r="G13" i="28"/>
  <c r="G12" i="28"/>
  <c r="G11" i="28"/>
  <c r="G10" i="28"/>
  <c r="G9" i="28"/>
  <c r="G8" i="28"/>
  <c r="G7" i="28"/>
  <c r="G6" i="28"/>
  <c r="G5" i="28"/>
  <c r="G253" i="28"/>
  <c r="G252" i="28"/>
  <c r="G251" i="28"/>
  <c r="G250" i="28"/>
  <c r="G255" i="28"/>
  <c r="G254" i="28"/>
  <c r="G256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I360" i="28"/>
  <c r="I359" i="28"/>
  <c r="I358" i="28"/>
  <c r="I357" i="28"/>
  <c r="I356" i="28"/>
  <c r="I355" i="28"/>
  <c r="I354" i="28"/>
  <c r="I353" i="28"/>
  <c r="I352" i="28"/>
  <c r="I351" i="28"/>
  <c r="I350" i="28"/>
  <c r="I349" i="28"/>
  <c r="I348" i="28"/>
  <c r="I347" i="28"/>
  <c r="I346" i="28"/>
  <c r="I345" i="28"/>
  <c r="I344" i="28"/>
  <c r="I343" i="28"/>
  <c r="I342" i="28"/>
  <c r="I341" i="28"/>
  <c r="I340" i="28"/>
  <c r="I339" i="28"/>
  <c r="I338" i="28"/>
  <c r="I337" i="28"/>
  <c r="I336" i="28"/>
  <c r="I335" i="28"/>
  <c r="I334" i="28"/>
  <c r="I333" i="28"/>
  <c r="I332" i="28"/>
  <c r="I331" i="28"/>
  <c r="I330" i="28"/>
  <c r="I329" i="28"/>
  <c r="I328" i="28"/>
  <c r="I327" i="28"/>
  <c r="I326" i="28"/>
  <c r="I325" i="28"/>
  <c r="I324" i="28"/>
  <c r="I323" i="28"/>
  <c r="I322" i="28"/>
  <c r="I321" i="28"/>
  <c r="I320" i="28"/>
  <c r="I319" i="28"/>
  <c r="I318" i="28"/>
  <c r="I317" i="28"/>
  <c r="I316" i="28"/>
  <c r="I315" i="28"/>
  <c r="I314" i="28"/>
  <c r="I313" i="28"/>
  <c r="I312" i="28"/>
  <c r="I311" i="28"/>
  <c r="I310" i="28"/>
  <c r="I309" i="28"/>
  <c r="I308" i="28"/>
  <c r="I307" i="28"/>
  <c r="I306" i="28"/>
  <c r="I305" i="28"/>
  <c r="I304" i="28"/>
  <c r="I303" i="28"/>
  <c r="I302" i="28"/>
  <c r="I301" i="28"/>
  <c r="I300" i="28"/>
  <c r="I299" i="28"/>
  <c r="I298" i="28"/>
  <c r="I297" i="28"/>
  <c r="I296" i="28"/>
  <c r="I295" i="28"/>
  <c r="I294" i="28"/>
  <c r="I293" i="28"/>
  <c r="I292" i="28"/>
  <c r="I291" i="28"/>
  <c r="I290" i="28"/>
  <c r="I289" i="28"/>
  <c r="I288" i="28"/>
  <c r="I287" i="28"/>
  <c r="I286" i="28"/>
  <c r="I285" i="28"/>
  <c r="I284" i="28"/>
  <c r="I283" i="28"/>
  <c r="I282" i="28"/>
  <c r="I281" i="28"/>
  <c r="I280" i="28"/>
  <c r="I279" i="28"/>
  <c r="I278" i="28"/>
  <c r="I277" i="28"/>
  <c r="I276" i="28"/>
  <c r="I275" i="28"/>
  <c r="I274" i="28"/>
  <c r="I273" i="28"/>
  <c r="I272" i="28"/>
  <c r="I271" i="28"/>
  <c r="I270" i="28"/>
  <c r="I269" i="28"/>
  <c r="I268" i="28"/>
  <c r="I267" i="28"/>
  <c r="I266" i="28"/>
  <c r="I265" i="28"/>
  <c r="I264" i="28"/>
  <c r="I263" i="28"/>
  <c r="I262" i="28"/>
  <c r="I261" i="28"/>
  <c r="I260" i="28"/>
  <c r="I259" i="28"/>
  <c r="I258" i="28"/>
  <c r="I257" i="28"/>
  <c r="I256" i="28"/>
  <c r="I255" i="28"/>
  <c r="I254" i="28"/>
  <c r="I253" i="28"/>
  <c r="I252" i="28"/>
  <c r="I251" i="28"/>
  <c r="I250" i="28"/>
  <c r="I249" i="28"/>
  <c r="I248" i="28"/>
  <c r="I247" i="28"/>
  <c r="I246" i="28"/>
  <c r="I245" i="28"/>
  <c r="I244" i="28"/>
  <c r="I243" i="28"/>
  <c r="I242" i="28"/>
  <c r="I241" i="28"/>
  <c r="I240" i="28"/>
  <c r="I239" i="28"/>
  <c r="I238" i="28"/>
  <c r="I237" i="28"/>
  <c r="I236" i="28"/>
  <c r="I235" i="28"/>
  <c r="I234" i="28"/>
  <c r="I233" i="28"/>
  <c r="I232" i="28"/>
  <c r="I231" i="28"/>
  <c r="I230" i="28"/>
  <c r="I229" i="28"/>
  <c r="I228" i="28"/>
  <c r="I227" i="28"/>
  <c r="I226" i="28"/>
  <c r="I225" i="28"/>
  <c r="I224" i="28"/>
  <c r="I223" i="28"/>
  <c r="I222" i="28"/>
  <c r="I221" i="28"/>
  <c r="I220" i="28"/>
  <c r="I219" i="28"/>
  <c r="I218" i="28"/>
  <c r="I217" i="28"/>
  <c r="I216" i="28"/>
  <c r="I215" i="28"/>
  <c r="I214" i="28"/>
  <c r="I213" i="28"/>
  <c r="I212" i="28"/>
  <c r="I211" i="28"/>
  <c r="I210" i="28"/>
  <c r="I209" i="28"/>
  <c r="I208" i="28"/>
  <c r="I207" i="28"/>
  <c r="I206" i="28"/>
  <c r="I205" i="28"/>
  <c r="I204" i="28"/>
  <c r="I203" i="28"/>
  <c r="I202" i="28"/>
  <c r="I201" i="28"/>
  <c r="I200" i="28"/>
  <c r="I199" i="28"/>
  <c r="I198" i="28"/>
  <c r="I197" i="28"/>
  <c r="I196" i="28"/>
  <c r="I195" i="28"/>
  <c r="I194" i="28"/>
  <c r="I193" i="28"/>
  <c r="I192" i="28"/>
  <c r="I191" i="28"/>
  <c r="I190" i="28"/>
  <c r="I189" i="28"/>
  <c r="I188" i="28"/>
  <c r="I187" i="28"/>
  <c r="I186" i="28"/>
  <c r="I185" i="28"/>
  <c r="I184" i="28"/>
  <c r="I183" i="28"/>
  <c r="I182" i="28"/>
  <c r="I181" i="28"/>
  <c r="I180" i="28"/>
  <c r="I179" i="28"/>
  <c r="I178" i="28"/>
  <c r="I177" i="28"/>
  <c r="I176" i="28"/>
  <c r="I175" i="28"/>
  <c r="I174" i="28"/>
  <c r="I173" i="28"/>
  <c r="I172" i="28"/>
  <c r="I171" i="28"/>
  <c r="I170" i="28"/>
  <c r="I169" i="28"/>
  <c r="I168" i="28"/>
  <c r="I167" i="28"/>
  <c r="I166" i="28"/>
  <c r="I165" i="28"/>
  <c r="I164" i="28"/>
  <c r="I163" i="28"/>
  <c r="I162" i="28"/>
  <c r="I161" i="28"/>
  <c r="I160" i="28"/>
  <c r="I159" i="28"/>
  <c r="I158" i="28"/>
  <c r="I157" i="28"/>
  <c r="I156" i="28"/>
  <c r="I155" i="28"/>
  <c r="I154" i="28"/>
  <c r="I153" i="28"/>
  <c r="I152" i="28"/>
  <c r="I151" i="28"/>
  <c r="I150" i="28"/>
  <c r="I149" i="28"/>
  <c r="I148" i="28"/>
  <c r="I147" i="28"/>
  <c r="I146" i="28"/>
  <c r="I145" i="28"/>
  <c r="I144" i="28"/>
  <c r="I143" i="28"/>
  <c r="I142" i="28"/>
  <c r="I141" i="28"/>
  <c r="I140" i="28"/>
  <c r="I139" i="28"/>
  <c r="I138" i="28"/>
  <c r="I137" i="28"/>
  <c r="I136" i="28"/>
  <c r="I135" i="28"/>
  <c r="I134" i="28"/>
  <c r="I133" i="28"/>
  <c r="I132" i="28"/>
  <c r="I131" i="28"/>
  <c r="I130" i="28"/>
  <c r="I129" i="28"/>
  <c r="I128" i="28"/>
  <c r="I127" i="28"/>
  <c r="I126" i="28"/>
  <c r="I125" i="28"/>
  <c r="I124" i="28"/>
  <c r="I123" i="28"/>
  <c r="I122" i="28"/>
  <c r="I121" i="28"/>
  <c r="I120" i="28"/>
  <c r="I119" i="28"/>
  <c r="I118" i="28"/>
  <c r="I117" i="28"/>
  <c r="I116" i="28"/>
  <c r="I115" i="28"/>
  <c r="I114" i="28"/>
  <c r="I113" i="28"/>
  <c r="I112" i="28"/>
  <c r="I111" i="28"/>
  <c r="I110" i="28"/>
  <c r="I109" i="28"/>
  <c r="I108" i="28"/>
  <c r="I107" i="28"/>
  <c r="I106" i="28"/>
  <c r="I105" i="28"/>
  <c r="I104" i="28"/>
  <c r="I103" i="28"/>
  <c r="I102" i="28"/>
  <c r="I101" i="28"/>
  <c r="I100" i="28"/>
  <c r="I99" i="28"/>
  <c r="I98" i="28"/>
  <c r="I97" i="28"/>
  <c r="I96" i="28"/>
  <c r="I95" i="28"/>
  <c r="I94" i="28"/>
  <c r="I93" i="28"/>
  <c r="I92" i="28"/>
  <c r="I91" i="28"/>
  <c r="I90" i="28"/>
  <c r="I89" i="28"/>
  <c r="I88" i="28"/>
  <c r="I87" i="28"/>
  <c r="I86" i="28"/>
  <c r="I85" i="28"/>
  <c r="I84" i="28"/>
  <c r="I83" i="28"/>
  <c r="I82" i="28"/>
  <c r="I81" i="28"/>
  <c r="I80" i="28"/>
  <c r="I79" i="28"/>
  <c r="I78" i="28"/>
  <c r="I77" i="28"/>
  <c r="I76" i="28"/>
  <c r="I75" i="28"/>
  <c r="I74" i="28"/>
  <c r="I73" i="28"/>
  <c r="I72" i="28"/>
  <c r="I71" i="28"/>
  <c r="I70" i="28"/>
  <c r="I69" i="28"/>
  <c r="I68" i="28"/>
  <c r="I67" i="28"/>
  <c r="I66" i="28"/>
  <c r="I65" i="28"/>
  <c r="I64" i="28"/>
  <c r="I63" i="28"/>
  <c r="I62" i="28"/>
  <c r="I61" i="28"/>
  <c r="I60" i="28"/>
  <c r="I59" i="28"/>
  <c r="I58" i="28"/>
  <c r="I57" i="28"/>
  <c r="I56" i="28"/>
  <c r="I55" i="28"/>
  <c r="I54" i="28"/>
  <c r="I53" i="28"/>
  <c r="I52" i="28"/>
  <c r="I51" i="28"/>
  <c r="I50" i="28"/>
  <c r="I49" i="28"/>
  <c r="I48" i="28"/>
  <c r="I47" i="28"/>
  <c r="I46" i="28"/>
  <c r="I45" i="28"/>
  <c r="I44" i="28"/>
  <c r="I43" i="28"/>
  <c r="I42" i="28"/>
  <c r="I41" i="28"/>
  <c r="I40" i="28"/>
  <c r="I39" i="28"/>
  <c r="I38" i="28"/>
  <c r="I37" i="28"/>
  <c r="I36" i="28"/>
  <c r="I35" i="28"/>
  <c r="I34" i="28"/>
  <c r="I33" i="28"/>
  <c r="I32" i="28"/>
  <c r="I31" i="28"/>
  <c r="I30" i="28"/>
  <c r="I29" i="28"/>
  <c r="I28" i="28"/>
  <c r="I27" i="28"/>
  <c r="I26" i="28"/>
  <c r="I25" i="28"/>
  <c r="I24" i="28"/>
  <c r="I23" i="28"/>
  <c r="I22" i="28"/>
  <c r="I21" i="28"/>
  <c r="I20" i="28"/>
  <c r="I19" i="28"/>
  <c r="I18" i="28"/>
  <c r="I17" i="28"/>
  <c r="I16" i="28"/>
  <c r="I15" i="28"/>
  <c r="I14" i="28"/>
  <c r="I13" i="28"/>
  <c r="I12" i="28"/>
  <c r="I11" i="28"/>
  <c r="I10" i="28"/>
  <c r="I9" i="28"/>
  <c r="I8" i="28"/>
  <c r="I7" i="28"/>
  <c r="I6" i="28"/>
  <c r="I5" i="28"/>
  <c r="H363" i="28"/>
  <c r="H362" i="28"/>
  <c r="H361" i="28"/>
  <c r="H360" i="28"/>
  <c r="H359" i="28"/>
  <c r="H358" i="28"/>
  <c r="H357" i="28"/>
  <c r="H356" i="28"/>
  <c r="H355" i="28"/>
  <c r="H354" i="28"/>
  <c r="H353" i="28"/>
  <c r="H352" i="28"/>
  <c r="H351" i="28"/>
  <c r="H350" i="28"/>
  <c r="H349" i="28"/>
  <c r="H348" i="28"/>
  <c r="H347" i="28"/>
  <c r="H346" i="28"/>
  <c r="H345" i="28"/>
  <c r="H344" i="28"/>
  <c r="H343" i="28"/>
  <c r="H342" i="28"/>
  <c r="H341" i="28"/>
  <c r="H340" i="28"/>
  <c r="H339" i="28"/>
  <c r="H338" i="28"/>
  <c r="H337" i="28"/>
  <c r="H336" i="28"/>
  <c r="H335" i="28"/>
  <c r="H334" i="28"/>
  <c r="H333" i="28"/>
  <c r="H332" i="28"/>
  <c r="H331" i="28"/>
  <c r="H330" i="28"/>
  <c r="H329" i="28"/>
  <c r="H328" i="28"/>
  <c r="H327" i="28"/>
  <c r="H326" i="28"/>
  <c r="H325" i="28"/>
  <c r="H324" i="28"/>
  <c r="H323" i="28"/>
  <c r="H322" i="28"/>
  <c r="H321" i="28"/>
  <c r="H320" i="28"/>
  <c r="H319" i="28"/>
  <c r="H318" i="28"/>
  <c r="H317" i="28"/>
  <c r="H316" i="28"/>
  <c r="H315" i="28"/>
  <c r="H314" i="28"/>
  <c r="H313" i="28"/>
  <c r="H312" i="28"/>
  <c r="H311" i="28"/>
  <c r="H310" i="28"/>
  <c r="H309" i="28"/>
  <c r="H308" i="28"/>
  <c r="H307" i="28"/>
  <c r="H306" i="28"/>
  <c r="H305" i="28"/>
  <c r="H304" i="28"/>
  <c r="H303" i="28"/>
  <c r="H302" i="28"/>
  <c r="H301" i="28"/>
  <c r="H300" i="28"/>
  <c r="H299" i="28"/>
  <c r="H298" i="28"/>
  <c r="H297" i="28"/>
  <c r="H296" i="28"/>
  <c r="H295" i="28"/>
  <c r="H294" i="28"/>
  <c r="H293" i="28"/>
  <c r="H292" i="28"/>
  <c r="H291" i="28"/>
  <c r="H290" i="28"/>
  <c r="H289" i="28"/>
  <c r="H288" i="28"/>
  <c r="H287" i="28"/>
  <c r="H286" i="28"/>
  <c r="H285" i="28"/>
  <c r="H284" i="28"/>
  <c r="H283" i="28"/>
  <c r="H282" i="28"/>
  <c r="H281" i="28"/>
  <c r="H280" i="28"/>
  <c r="H279" i="28"/>
  <c r="H278" i="28"/>
  <c r="H277" i="28"/>
  <c r="H276" i="28"/>
  <c r="H275" i="28"/>
  <c r="H274" i="28"/>
  <c r="H273" i="28"/>
  <c r="H272" i="28"/>
  <c r="H271" i="28"/>
  <c r="H270" i="28"/>
  <c r="H269" i="28"/>
  <c r="H268" i="28"/>
  <c r="H267" i="28"/>
  <c r="H266" i="28"/>
  <c r="H265" i="28"/>
  <c r="H264" i="28"/>
  <c r="H263" i="28"/>
  <c r="H262" i="28"/>
  <c r="H261" i="28"/>
  <c r="H260" i="28"/>
  <c r="H259" i="28"/>
  <c r="H258" i="28"/>
  <c r="H257" i="28"/>
  <c r="H256" i="28"/>
  <c r="H255" i="28"/>
  <c r="H254" i="28"/>
  <c r="H253" i="28"/>
  <c r="H252" i="28"/>
  <c r="H251" i="28"/>
  <c r="H250" i="28"/>
  <c r="H249" i="28"/>
  <c r="H248" i="28"/>
  <c r="H247" i="28"/>
  <c r="H246" i="28"/>
  <c r="H245" i="28"/>
  <c r="H244" i="28"/>
  <c r="H243" i="28"/>
  <c r="H242" i="28"/>
  <c r="H241" i="28"/>
  <c r="H240" i="28"/>
  <c r="H239" i="28"/>
  <c r="H238" i="28"/>
  <c r="H237" i="28"/>
  <c r="H236" i="28"/>
  <c r="H235" i="28"/>
  <c r="H234" i="28"/>
  <c r="H233" i="28"/>
  <c r="H232" i="28"/>
  <c r="H231" i="28"/>
  <c r="H230" i="28"/>
  <c r="H229" i="28"/>
  <c r="H228" i="28"/>
  <c r="H227" i="28"/>
  <c r="H226" i="28"/>
  <c r="H225" i="28"/>
  <c r="H224" i="28"/>
  <c r="H223" i="28"/>
  <c r="H222" i="28"/>
  <c r="H221" i="28"/>
  <c r="H220" i="28"/>
  <c r="H219" i="28"/>
  <c r="H218" i="28"/>
  <c r="H217" i="28"/>
  <c r="H216" i="28"/>
  <c r="H215" i="28"/>
  <c r="H214" i="28"/>
  <c r="H213" i="28"/>
  <c r="H212" i="28"/>
  <c r="H211" i="28"/>
  <c r="H210" i="28"/>
  <c r="H209" i="28"/>
  <c r="H208" i="28"/>
  <c r="H207" i="28"/>
  <c r="H206" i="28"/>
  <c r="H205" i="28"/>
  <c r="H204" i="28"/>
  <c r="H203" i="28"/>
  <c r="H202" i="28"/>
  <c r="H201" i="28"/>
  <c r="H200" i="28"/>
  <c r="H199" i="28"/>
  <c r="H198" i="28"/>
  <c r="H197" i="28"/>
  <c r="H196" i="28"/>
  <c r="H195" i="28"/>
  <c r="H194" i="28"/>
  <c r="H193" i="28"/>
  <c r="H192" i="28"/>
  <c r="H191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H173" i="28"/>
  <c r="H172" i="28"/>
  <c r="H171" i="28"/>
  <c r="H170" i="28"/>
  <c r="H169" i="28"/>
  <c r="H168" i="28"/>
  <c r="H167" i="28"/>
  <c r="H166" i="28"/>
  <c r="H165" i="28"/>
  <c r="H164" i="28"/>
  <c r="H163" i="28"/>
  <c r="H162" i="28"/>
  <c r="H161" i="28"/>
  <c r="H160" i="28"/>
  <c r="H159" i="28"/>
  <c r="H158" i="28"/>
  <c r="H157" i="28"/>
  <c r="H156" i="28"/>
  <c r="H155" i="28"/>
  <c r="H154" i="28"/>
  <c r="H153" i="28"/>
  <c r="H152" i="28"/>
  <c r="H151" i="28"/>
  <c r="H150" i="28"/>
  <c r="H149" i="28"/>
  <c r="H148" i="28"/>
  <c r="H147" i="28"/>
  <c r="H146" i="28"/>
  <c r="H145" i="28"/>
  <c r="H144" i="28"/>
  <c r="H143" i="28"/>
  <c r="H142" i="28"/>
  <c r="H141" i="28"/>
  <c r="H140" i="28"/>
  <c r="H139" i="28"/>
  <c r="H138" i="28"/>
  <c r="H137" i="28"/>
  <c r="H136" i="28"/>
  <c r="H135" i="28"/>
  <c r="H134" i="28"/>
  <c r="H133" i="28"/>
  <c r="H132" i="28"/>
  <c r="H131" i="28"/>
  <c r="H130" i="28"/>
  <c r="H129" i="28"/>
  <c r="H128" i="28"/>
  <c r="H127" i="28"/>
  <c r="H126" i="28"/>
  <c r="H125" i="28"/>
  <c r="H124" i="28"/>
  <c r="H123" i="28"/>
  <c r="H122" i="28"/>
  <c r="H121" i="28"/>
  <c r="H120" i="28"/>
  <c r="H119" i="28"/>
  <c r="H118" i="28"/>
  <c r="H117" i="28"/>
  <c r="H116" i="28"/>
  <c r="H115" i="28"/>
  <c r="H114" i="28"/>
  <c r="H113" i="28"/>
  <c r="H112" i="28"/>
  <c r="H111" i="28"/>
  <c r="H110" i="28"/>
  <c r="H109" i="28"/>
  <c r="H108" i="28"/>
  <c r="H107" i="28"/>
  <c r="H106" i="28"/>
  <c r="H105" i="28"/>
  <c r="H104" i="28"/>
  <c r="H103" i="28"/>
  <c r="H102" i="28"/>
  <c r="H101" i="28"/>
  <c r="H100" i="28"/>
  <c r="H99" i="28"/>
  <c r="H98" i="28"/>
  <c r="H97" i="28"/>
  <c r="H96" i="28"/>
  <c r="H95" i="28"/>
  <c r="H94" i="28"/>
  <c r="H93" i="28"/>
  <c r="H92" i="28"/>
  <c r="H91" i="28"/>
  <c r="H90" i="28"/>
  <c r="H89" i="28"/>
  <c r="H88" i="28"/>
  <c r="H87" i="28"/>
  <c r="H86" i="28"/>
  <c r="H85" i="28"/>
  <c r="H84" i="28"/>
  <c r="H83" i="28"/>
  <c r="H82" i="28"/>
  <c r="H81" i="28"/>
  <c r="H80" i="28"/>
  <c r="H79" i="28"/>
  <c r="H78" i="28"/>
  <c r="H77" i="28"/>
  <c r="H76" i="28"/>
  <c r="H75" i="28"/>
  <c r="H74" i="28"/>
  <c r="H73" i="28"/>
  <c r="H72" i="28"/>
  <c r="H71" i="28"/>
  <c r="H70" i="28"/>
  <c r="H69" i="28"/>
  <c r="H68" i="28"/>
  <c r="H67" i="28"/>
  <c r="H66" i="28"/>
  <c r="H65" i="28"/>
  <c r="H64" i="28"/>
  <c r="H63" i="28"/>
  <c r="H62" i="28"/>
  <c r="H61" i="28"/>
  <c r="H60" i="28"/>
  <c r="H59" i="28"/>
  <c r="H58" i="28"/>
  <c r="H57" i="28"/>
  <c r="H56" i="28"/>
  <c r="H55" i="28"/>
  <c r="H54" i="28"/>
  <c r="H53" i="28"/>
  <c r="H52" i="28"/>
  <c r="H51" i="28"/>
  <c r="H50" i="28"/>
  <c r="H49" i="28"/>
  <c r="H48" i="28"/>
  <c r="H47" i="28"/>
  <c r="H46" i="28"/>
  <c r="H45" i="28"/>
  <c r="H44" i="28"/>
  <c r="H43" i="28"/>
  <c r="H42" i="28"/>
  <c r="H41" i="28"/>
  <c r="H40" i="28"/>
  <c r="H39" i="28"/>
  <c r="H38" i="28"/>
  <c r="H37" i="28"/>
  <c r="H36" i="28"/>
  <c r="H35" i="28"/>
  <c r="H34" i="28"/>
  <c r="H33" i="28"/>
  <c r="H32" i="28"/>
  <c r="H31" i="28"/>
  <c r="H30" i="28"/>
  <c r="H29" i="28"/>
  <c r="H28" i="28"/>
  <c r="H27" i="28"/>
  <c r="H26" i="28"/>
  <c r="H25" i="28"/>
  <c r="H24" i="28"/>
  <c r="H23" i="28"/>
  <c r="H22" i="28"/>
  <c r="H21" i="28"/>
  <c r="H20" i="28"/>
  <c r="H19" i="28"/>
  <c r="H18" i="28"/>
  <c r="H17" i="28"/>
  <c r="H16" i="28"/>
  <c r="H15" i="28"/>
  <c r="H14" i="28"/>
  <c r="H13" i="28"/>
  <c r="H12" i="28"/>
  <c r="H11" i="28"/>
  <c r="H10" i="28"/>
  <c r="H9" i="28"/>
  <c r="H8" i="28"/>
  <c r="H7" i="28"/>
  <c r="H6" i="28"/>
  <c r="H5" i="28"/>
  <c r="I364" i="28"/>
  <c r="I363" i="28"/>
  <c r="I362" i="28"/>
  <c r="I361" i="28"/>
  <c r="H365" i="28"/>
  <c r="H364" i="28"/>
  <c r="I365" i="28"/>
  <c r="O4" i="26"/>
  <c r="S4" i="26"/>
  <c r="O5" i="26"/>
  <c r="S5" i="26"/>
  <c r="O6" i="26"/>
  <c r="S6" i="26"/>
  <c r="O7" i="26"/>
  <c r="S7" i="26"/>
  <c r="O8" i="26"/>
  <c r="S8" i="26"/>
  <c r="O9" i="26"/>
  <c r="S9" i="26"/>
  <c r="O10" i="26"/>
  <c r="S10" i="26"/>
  <c r="O11" i="26"/>
  <c r="S11" i="26"/>
  <c r="O12" i="26"/>
  <c r="S12" i="26"/>
  <c r="O13" i="26"/>
  <c r="S13" i="26"/>
  <c r="O14" i="26"/>
  <c r="S14" i="26"/>
  <c r="O15" i="26"/>
  <c r="S15" i="26"/>
  <c r="O16" i="26"/>
  <c r="S16" i="26"/>
  <c r="O17" i="26"/>
  <c r="S17" i="26"/>
  <c r="O18" i="26"/>
  <c r="S18" i="26"/>
  <c r="O19" i="26"/>
  <c r="S19" i="26"/>
  <c r="O20" i="26"/>
  <c r="S20" i="26"/>
  <c r="O21" i="26"/>
  <c r="S21" i="26"/>
  <c r="O22" i="26"/>
  <c r="S22" i="26"/>
  <c r="O23" i="26"/>
  <c r="S23" i="26"/>
  <c r="O24" i="26"/>
  <c r="S24" i="26"/>
  <c r="O25" i="26"/>
  <c r="S25" i="26"/>
  <c r="O26" i="26"/>
  <c r="S26" i="26"/>
  <c r="O27" i="26"/>
  <c r="S27" i="26"/>
  <c r="O28" i="26"/>
  <c r="S28" i="26"/>
  <c r="O29" i="26"/>
  <c r="S29" i="26"/>
  <c r="O30" i="26"/>
  <c r="S30" i="26"/>
  <c r="O31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O32" i="26"/>
  <c r="P32" i="26"/>
  <c r="P31" i="26"/>
  <c r="P30" i="26"/>
  <c r="P29" i="26"/>
  <c r="P28" i="26"/>
  <c r="P27" i="26"/>
  <c r="P26" i="26"/>
  <c r="P25" i="26"/>
  <c r="P24" i="26"/>
  <c r="P23" i="26"/>
  <c r="P22" i="26"/>
  <c r="P21" i="26"/>
  <c r="P20" i="26"/>
  <c r="P19" i="26"/>
  <c r="P18" i="26"/>
  <c r="P17" i="26"/>
  <c r="P16" i="26"/>
  <c r="P15" i="26"/>
  <c r="P14" i="26"/>
  <c r="P13" i="26"/>
  <c r="P12" i="26"/>
  <c r="P11" i="26"/>
  <c r="P10" i="26"/>
  <c r="P9" i="26"/>
  <c r="P8" i="26"/>
  <c r="P7" i="26"/>
  <c r="P6" i="26"/>
  <c r="P5" i="26"/>
  <c r="P4" i="26"/>
  <c r="P3" i="26"/>
  <c r="T32" i="26"/>
  <c r="T31" i="26"/>
  <c r="O33" i="26"/>
  <c r="R33" i="26"/>
  <c r="U33" i="26"/>
  <c r="V33" i="26"/>
  <c r="O34" i="26"/>
  <c r="P34" i="26"/>
  <c r="T34" i="26"/>
  <c r="O35" i="26"/>
  <c r="P35" i="26"/>
  <c r="T35" i="26"/>
  <c r="O36" i="26"/>
  <c r="P36" i="26"/>
  <c r="T36" i="26"/>
  <c r="O37" i="26"/>
  <c r="P37" i="26"/>
  <c r="T37" i="26"/>
  <c r="O38" i="26"/>
  <c r="P38" i="26"/>
  <c r="T38" i="26"/>
  <c r="O39" i="26"/>
  <c r="P39" i="26"/>
  <c r="T39" i="26"/>
  <c r="O40" i="26"/>
  <c r="P40" i="26"/>
  <c r="T40" i="26"/>
  <c r="O41" i="26"/>
  <c r="P41" i="26"/>
  <c r="T41" i="26"/>
  <c r="O42" i="26"/>
  <c r="P42" i="26"/>
  <c r="T42" i="26"/>
  <c r="O43" i="26"/>
  <c r="P43" i="26"/>
  <c r="T43" i="26"/>
  <c r="O44" i="26"/>
  <c r="P44" i="26"/>
  <c r="T44" i="26"/>
  <c r="O45" i="26"/>
  <c r="P45" i="26"/>
  <c r="T45" i="26"/>
  <c r="O46" i="26"/>
  <c r="P46" i="26"/>
  <c r="T46" i="26"/>
  <c r="O47" i="26"/>
  <c r="P47" i="26"/>
  <c r="T47" i="26"/>
  <c r="O48" i="26"/>
  <c r="P48" i="26"/>
  <c r="T48" i="26"/>
  <c r="O49" i="26"/>
  <c r="P49" i="26"/>
  <c r="T49" i="26"/>
  <c r="O50" i="26"/>
  <c r="P50" i="26"/>
  <c r="T50" i="26"/>
  <c r="O51" i="26"/>
  <c r="P51" i="26"/>
  <c r="T51" i="26"/>
  <c r="O52" i="26"/>
  <c r="P52" i="26"/>
  <c r="T52" i="26"/>
  <c r="O53" i="26"/>
  <c r="P53" i="26"/>
  <c r="T53" i="26"/>
  <c r="O54" i="26"/>
  <c r="P54" i="26"/>
  <c r="T54" i="26"/>
  <c r="O55" i="26"/>
  <c r="P55" i="26"/>
  <c r="S55" i="26"/>
  <c r="T55" i="26"/>
  <c r="O56" i="26"/>
  <c r="P56" i="26"/>
  <c r="S56" i="26"/>
  <c r="T56" i="26"/>
  <c r="O57" i="26"/>
  <c r="P57" i="26"/>
  <c r="S57" i="26"/>
  <c r="T57" i="26"/>
  <c r="O58" i="26"/>
  <c r="P58" i="26"/>
  <c r="S58" i="26"/>
  <c r="T58" i="26"/>
  <c r="O59" i="26"/>
  <c r="P59" i="26"/>
  <c r="S59" i="26"/>
  <c r="T59" i="26"/>
  <c r="O60" i="26"/>
  <c r="P60" i="26"/>
  <c r="S60" i="26"/>
  <c r="T60" i="26"/>
  <c r="O61" i="26"/>
  <c r="P61" i="26"/>
  <c r="S61" i="26"/>
  <c r="T61" i="26"/>
  <c r="O62" i="26"/>
  <c r="P62" i="26"/>
  <c r="S62" i="26"/>
  <c r="T62" i="26"/>
  <c r="O63" i="26"/>
  <c r="P63" i="26"/>
  <c r="S63" i="26"/>
  <c r="T63" i="26"/>
  <c r="O64" i="26"/>
  <c r="P64" i="26"/>
  <c r="S64" i="26"/>
  <c r="T64" i="26"/>
  <c r="O65" i="26"/>
  <c r="P65" i="26"/>
  <c r="S65" i="26"/>
  <c r="T65" i="26"/>
  <c r="O66" i="26"/>
  <c r="P66" i="26"/>
  <c r="S66" i="26"/>
  <c r="T66" i="26"/>
  <c r="O67" i="26"/>
  <c r="P67" i="26"/>
  <c r="S67" i="26"/>
  <c r="T67" i="26"/>
  <c r="O68" i="26"/>
  <c r="P68" i="26"/>
  <c r="S68" i="26"/>
  <c r="T68" i="26"/>
  <c r="O69" i="26"/>
  <c r="P69" i="26"/>
  <c r="S69" i="26"/>
  <c r="T69" i="26"/>
  <c r="O70" i="26"/>
  <c r="P70" i="26"/>
  <c r="S70" i="26"/>
  <c r="T70" i="26"/>
  <c r="O71" i="26"/>
  <c r="P71" i="26"/>
  <c r="S71" i="26"/>
  <c r="T71" i="26"/>
  <c r="O72" i="26"/>
  <c r="P72" i="26"/>
  <c r="S72" i="26"/>
  <c r="T72" i="26"/>
  <c r="O73" i="26"/>
  <c r="P73" i="26"/>
  <c r="S73" i="26"/>
  <c r="T73" i="26"/>
  <c r="O74" i="26"/>
  <c r="P74" i="26"/>
  <c r="S74" i="26"/>
  <c r="T74" i="26"/>
  <c r="O75" i="26"/>
  <c r="P75" i="26"/>
  <c r="S75" i="26"/>
  <c r="T75" i="26"/>
  <c r="O76" i="26"/>
  <c r="P76" i="26"/>
  <c r="S76" i="26"/>
  <c r="T76" i="26"/>
  <c r="O77" i="26"/>
  <c r="P77" i="26"/>
  <c r="S77" i="26"/>
  <c r="T77" i="26"/>
  <c r="O78" i="26"/>
  <c r="P78" i="26"/>
  <c r="S78" i="26"/>
  <c r="T78" i="26"/>
  <c r="O79" i="26"/>
  <c r="P79" i="26"/>
  <c r="S79" i="26"/>
  <c r="T79" i="26"/>
  <c r="O80" i="26"/>
  <c r="P80" i="26"/>
  <c r="S80" i="26"/>
  <c r="S81" i="26"/>
  <c r="T80" i="26"/>
  <c r="O81" i="26"/>
  <c r="R81" i="26"/>
  <c r="U81" i="26"/>
  <c r="V81" i="26"/>
  <c r="O82" i="26"/>
  <c r="P82" i="26"/>
  <c r="S82" i="26"/>
  <c r="T82" i="26"/>
  <c r="O83" i="26"/>
  <c r="P83" i="26"/>
  <c r="S83" i="26"/>
  <c r="T83" i="26"/>
  <c r="O84" i="26"/>
  <c r="P84" i="26"/>
  <c r="S84" i="26"/>
  <c r="T84" i="26"/>
  <c r="O85" i="26"/>
  <c r="P85" i="26"/>
  <c r="S85" i="26"/>
  <c r="T85" i="26"/>
  <c r="O86" i="26"/>
  <c r="P86" i="26"/>
  <c r="S86" i="26"/>
  <c r="T86" i="26"/>
  <c r="O87" i="26"/>
  <c r="P87" i="26"/>
  <c r="S87" i="26"/>
  <c r="T87" i="26"/>
  <c r="O88" i="26"/>
  <c r="P88" i="26"/>
  <c r="S88" i="26"/>
  <c r="T88" i="26"/>
  <c r="O89" i="26"/>
  <c r="P89" i="26"/>
  <c r="S89" i="26"/>
  <c r="T89" i="26"/>
  <c r="O90" i="26"/>
  <c r="P90" i="26"/>
  <c r="S90" i="26"/>
  <c r="T90" i="26"/>
  <c r="O91" i="26"/>
  <c r="P91" i="26"/>
  <c r="S91" i="26"/>
  <c r="T91" i="26"/>
  <c r="O92" i="26"/>
  <c r="P92" i="26"/>
  <c r="S92" i="26"/>
  <c r="S93" i="26"/>
  <c r="T92" i="26"/>
  <c r="O93" i="26"/>
  <c r="P93" i="26"/>
  <c r="T93" i="26"/>
  <c r="O94" i="26"/>
  <c r="P94" i="26"/>
  <c r="T94" i="26"/>
  <c r="O95" i="26"/>
  <c r="P95" i="26"/>
  <c r="T95" i="26"/>
  <c r="O96" i="26"/>
  <c r="P96" i="26"/>
  <c r="T96" i="26"/>
  <c r="O97" i="26"/>
  <c r="P97" i="26"/>
  <c r="T97" i="26"/>
  <c r="O98" i="26"/>
  <c r="P98" i="26"/>
  <c r="T98" i="26"/>
  <c r="O99" i="26"/>
  <c r="P99" i="26"/>
  <c r="T99" i="26"/>
  <c r="O100" i="26"/>
  <c r="P100" i="26"/>
  <c r="T100" i="26"/>
  <c r="O101" i="26"/>
  <c r="P101" i="26"/>
  <c r="T101" i="26"/>
  <c r="O102" i="26"/>
  <c r="P102" i="26"/>
  <c r="T102" i="26"/>
  <c r="O103" i="26"/>
  <c r="P103" i="26"/>
  <c r="T103" i="26"/>
  <c r="O104" i="26"/>
  <c r="P104" i="26"/>
  <c r="T104" i="26"/>
  <c r="O105" i="26"/>
  <c r="P105" i="26"/>
  <c r="T105" i="26"/>
  <c r="O106" i="26"/>
  <c r="P106" i="26"/>
  <c r="T106" i="26"/>
  <c r="O107" i="26"/>
  <c r="P107" i="26"/>
  <c r="T107" i="26"/>
  <c r="O108" i="26"/>
  <c r="P108" i="26"/>
  <c r="T108" i="26"/>
  <c r="O109" i="26"/>
  <c r="P109" i="26"/>
  <c r="T109" i="26"/>
  <c r="O110" i="26"/>
  <c r="P110" i="26"/>
  <c r="T110" i="26"/>
  <c r="O111" i="26"/>
  <c r="P111" i="26"/>
  <c r="T111" i="26"/>
  <c r="O112" i="26"/>
  <c r="P112" i="26"/>
  <c r="T112" i="26"/>
  <c r="O113" i="26"/>
  <c r="P113" i="26"/>
  <c r="T113" i="26"/>
  <c r="O114" i="26"/>
  <c r="P114" i="26"/>
  <c r="T114" i="26"/>
  <c r="O115" i="26"/>
  <c r="P115" i="26"/>
  <c r="T115" i="26"/>
  <c r="O116" i="26"/>
  <c r="P116" i="26"/>
  <c r="T116" i="26"/>
  <c r="O117" i="26"/>
  <c r="P117" i="26"/>
  <c r="T117" i="26"/>
  <c r="O118" i="26"/>
  <c r="P118" i="26"/>
  <c r="T118" i="26"/>
  <c r="O119" i="26"/>
  <c r="P119" i="26"/>
  <c r="T119" i="26"/>
  <c r="O120" i="26"/>
  <c r="P120" i="26"/>
  <c r="T120" i="26"/>
  <c r="O121" i="26"/>
  <c r="P121" i="26"/>
  <c r="T121" i="26"/>
  <c r="O122" i="26"/>
  <c r="P122" i="26"/>
  <c r="T122" i="26"/>
  <c r="O123" i="26"/>
  <c r="P123" i="26"/>
  <c r="T123" i="26"/>
  <c r="A128" i="26"/>
  <c r="C128" i="26"/>
  <c r="C147" i="26" s="1"/>
  <c r="A129" i="26"/>
  <c r="C129" i="26"/>
  <c r="A130" i="26"/>
  <c r="A134" i="26" s="1"/>
  <c r="C130" i="26"/>
  <c r="C134" i="26" s="1"/>
  <c r="A131" i="26"/>
  <c r="C131" i="26"/>
  <c r="A132" i="26"/>
  <c r="C132" i="26"/>
  <c r="A133" i="26"/>
  <c r="A151" i="26" s="1"/>
  <c r="C133" i="26"/>
  <c r="C151" i="26" s="1"/>
  <c r="A140" i="26"/>
  <c r="R149" i="26"/>
  <c r="V149" i="26"/>
  <c r="L2" i="24"/>
  <c r="M2" i="24"/>
  <c r="N2" i="24"/>
  <c r="L5" i="24"/>
  <c r="M5" i="24"/>
  <c r="N5" i="24"/>
  <c r="L8" i="24"/>
  <c r="M8" i="24"/>
  <c r="N8" i="24"/>
  <c r="B3" i="25"/>
  <c r="A31" i="25" s="1" a="1"/>
  <c r="A31" i="25" s="1"/>
  <c r="J3" i="25"/>
  <c r="J13" i="25" s="1"/>
  <c r="X3" i="25"/>
  <c r="B4" i="25"/>
  <c r="D13" i="25" s="1"/>
  <c r="J4" i="25"/>
  <c r="L13" i="25" s="1"/>
  <c r="X4" i="25"/>
  <c r="AA4" i="25"/>
  <c r="B5" i="25"/>
  <c r="J5" i="25"/>
  <c r="X5" i="25"/>
  <c r="J6" i="25"/>
  <c r="X6" i="25"/>
  <c r="B7" i="25"/>
  <c r="B23" i="25" s="1"/>
  <c r="J7" i="25"/>
  <c r="K23" i="25" s="1"/>
  <c r="B8" i="25"/>
  <c r="J8" i="25"/>
  <c r="X8" i="25"/>
  <c r="AA8" i="25"/>
  <c r="AA9" i="25"/>
  <c r="AA10" i="25"/>
  <c r="AC8" i="25"/>
  <c r="AC9" i="25"/>
  <c r="AC10" i="25"/>
  <c r="AE8" i="25"/>
  <c r="AE9" i="25"/>
  <c r="AE10" i="25"/>
  <c r="AG8" i="25"/>
  <c r="AG9" i="25"/>
  <c r="AG10" i="25"/>
  <c r="X10" i="25"/>
  <c r="AA11" i="25"/>
  <c r="AA12" i="25"/>
  <c r="AB12" i="25"/>
  <c r="AC12" i="25"/>
  <c r="AD12" i="25"/>
  <c r="AE12" i="25"/>
  <c r="AF12" i="25"/>
  <c r="AG12" i="25"/>
  <c r="AH12" i="25"/>
  <c r="AC13" i="25"/>
  <c r="AG13" i="25"/>
  <c r="AB16" i="25"/>
  <c r="AD16" i="25"/>
  <c r="AF16" i="25"/>
  <c r="AH16" i="25"/>
  <c r="AA30" i="25"/>
  <c r="AB30" i="25"/>
  <c r="AC30" i="25"/>
  <c r="AD30" i="25"/>
  <c r="AE30" i="25"/>
  <c r="AF30" i="25"/>
  <c r="AG30" i="25"/>
  <c r="AH30" i="25"/>
  <c r="AA31" i="25"/>
  <c r="AC31" i="25"/>
  <c r="AE31" i="25"/>
  <c r="AG31" i="25"/>
  <c r="AA67" i="25"/>
  <c r="AA3" i="25"/>
  <c r="AB67" i="25"/>
  <c r="AB3" i="25"/>
  <c r="AC67" i="25"/>
  <c r="AC3" i="25"/>
  <c r="AD67" i="25"/>
  <c r="AD3" i="25"/>
  <c r="AE67" i="25"/>
  <c r="AE3" i="25"/>
  <c r="AF67" i="25"/>
  <c r="AF3" i="25"/>
  <c r="AG67" i="25"/>
  <c r="AG3" i="25"/>
  <c r="AH67" i="25"/>
  <c r="AH3" i="25"/>
  <c r="AA71" i="25"/>
  <c r="AE71" i="25"/>
  <c r="AE4" i="25"/>
  <c r="AA73" i="25"/>
  <c r="AB73" i="25"/>
  <c r="AB71" i="25"/>
  <c r="AB4" i="25"/>
  <c r="AC73" i="25"/>
  <c r="AC71" i="25"/>
  <c r="AC4" i="25"/>
  <c r="AD73" i="25"/>
  <c r="AD71" i="25"/>
  <c r="AD4" i="25"/>
  <c r="AE73" i="25"/>
  <c r="AF73" i="25"/>
  <c r="AF71" i="25"/>
  <c r="AF4" i="25"/>
  <c r="AG73" i="25"/>
  <c r="AG71" i="25"/>
  <c r="AG4" i="25"/>
  <c r="AH73" i="25"/>
  <c r="AH71" i="25"/>
  <c r="AH4" i="25"/>
  <c r="X83" i="25"/>
  <c r="X88" i="25"/>
  <c r="R358" i="25"/>
  <c r="R357" i="25"/>
  <c r="R356" i="25"/>
  <c r="R355" i="25"/>
  <c r="R354" i="25"/>
  <c r="R353" i="25"/>
  <c r="R352" i="25"/>
  <c r="R351" i="25"/>
  <c r="R350" i="25"/>
  <c r="R349" i="25"/>
  <c r="R348" i="25"/>
  <c r="R347" i="25"/>
  <c r="R346" i="25"/>
  <c r="R345" i="25"/>
  <c r="R344" i="25"/>
  <c r="R343" i="25"/>
  <c r="R342" i="25"/>
  <c r="R341" i="25"/>
  <c r="R340" i="25"/>
  <c r="R339" i="25"/>
  <c r="R338" i="25"/>
  <c r="R337" i="25"/>
  <c r="R336" i="25"/>
  <c r="R335" i="25"/>
  <c r="R334" i="25"/>
  <c r="R333" i="25"/>
  <c r="R332" i="25"/>
  <c r="R331" i="25"/>
  <c r="R330" i="25"/>
  <c r="R329" i="25"/>
  <c r="R328" i="25"/>
  <c r="R327" i="25"/>
  <c r="R326" i="25"/>
  <c r="R325" i="25"/>
  <c r="R324" i="25"/>
  <c r="R323" i="25"/>
  <c r="R322" i="25"/>
  <c r="R321" i="25"/>
  <c r="R320" i="25"/>
  <c r="R319" i="25"/>
  <c r="R318" i="25"/>
  <c r="R317" i="25"/>
  <c r="R316" i="25"/>
  <c r="R315" i="25"/>
  <c r="R314" i="25"/>
  <c r="R313" i="25"/>
  <c r="R312" i="25"/>
  <c r="R311" i="25"/>
  <c r="R310" i="25"/>
  <c r="R309" i="25"/>
  <c r="R308" i="25"/>
  <c r="R307" i="25"/>
  <c r="R306" i="25"/>
  <c r="R305" i="25"/>
  <c r="R304" i="25"/>
  <c r="R303" i="25"/>
  <c r="R302" i="25"/>
  <c r="R301" i="25"/>
  <c r="R300" i="25"/>
  <c r="R299" i="25"/>
  <c r="R298" i="25"/>
  <c r="R297" i="25"/>
  <c r="R296" i="25"/>
  <c r="R295" i="25"/>
  <c r="R294" i="25"/>
  <c r="R293" i="25"/>
  <c r="R292" i="25"/>
  <c r="R291" i="25"/>
  <c r="R290" i="25"/>
  <c r="R289" i="25"/>
  <c r="R288" i="25"/>
  <c r="R287" i="25"/>
  <c r="R286" i="25"/>
  <c r="R285" i="25"/>
  <c r="R284" i="25"/>
  <c r="R283" i="25"/>
  <c r="R282" i="25"/>
  <c r="R281" i="25"/>
  <c r="R280" i="25"/>
  <c r="R279" i="25"/>
  <c r="R278" i="25"/>
  <c r="R277" i="25"/>
  <c r="R276" i="25"/>
  <c r="R275" i="25"/>
  <c r="R274" i="25"/>
  <c r="R273" i="25"/>
  <c r="R272" i="25"/>
  <c r="R271" i="25"/>
  <c r="R270" i="25"/>
  <c r="R269" i="25"/>
  <c r="R268" i="25"/>
  <c r="R267" i="25"/>
  <c r="R266" i="25"/>
  <c r="R265" i="25"/>
  <c r="R264" i="25"/>
  <c r="R263" i="25"/>
  <c r="R262" i="25"/>
  <c r="R261" i="25"/>
  <c r="R260" i="25"/>
  <c r="R259" i="25"/>
  <c r="R258" i="25"/>
  <c r="R257" i="25"/>
  <c r="R256" i="25"/>
  <c r="R255" i="25"/>
  <c r="R254" i="25"/>
  <c r="R253" i="25"/>
  <c r="R252" i="25"/>
  <c r="R251" i="25"/>
  <c r="R250" i="25"/>
  <c r="R249" i="25"/>
  <c r="R248" i="25"/>
  <c r="R247" i="25"/>
  <c r="R246" i="25"/>
  <c r="R245" i="25"/>
  <c r="R244" i="25"/>
  <c r="R243" i="25"/>
  <c r="R242" i="25"/>
  <c r="R241" i="25"/>
  <c r="R240" i="25"/>
  <c r="R239" i="25"/>
  <c r="R238" i="25"/>
  <c r="R237" i="25"/>
  <c r="R236" i="25"/>
  <c r="R235" i="25"/>
  <c r="R234" i="25"/>
  <c r="R233" i="25"/>
  <c r="R232" i="25"/>
  <c r="R231" i="25"/>
  <c r="R230" i="25"/>
  <c r="R229" i="25"/>
  <c r="R228" i="25"/>
  <c r="R227" i="25"/>
  <c r="R226" i="25"/>
  <c r="R225" i="25"/>
  <c r="R224" i="25"/>
  <c r="R223" i="25"/>
  <c r="R222" i="25"/>
  <c r="R221" i="25"/>
  <c r="R220" i="25"/>
  <c r="R219" i="25"/>
  <c r="R218" i="25"/>
  <c r="R217" i="25"/>
  <c r="R216" i="25"/>
  <c r="R215" i="25"/>
  <c r="R214" i="25"/>
  <c r="R213" i="25"/>
  <c r="R212" i="25"/>
  <c r="R211" i="25"/>
  <c r="R210" i="25"/>
  <c r="R209" i="25"/>
  <c r="R208" i="25"/>
  <c r="R207" i="25"/>
  <c r="R206" i="25"/>
  <c r="R205" i="25"/>
  <c r="R204" i="25"/>
  <c r="R203" i="25"/>
  <c r="R202" i="25"/>
  <c r="R201" i="25"/>
  <c r="R200" i="25"/>
  <c r="R199" i="25"/>
  <c r="R198" i="25"/>
  <c r="R197" i="25"/>
  <c r="R196" i="25"/>
  <c r="R195" i="25"/>
  <c r="R194" i="25"/>
  <c r="R193" i="25"/>
  <c r="R192" i="25"/>
  <c r="R191" i="25"/>
  <c r="R190" i="25"/>
  <c r="R189" i="25"/>
  <c r="R188" i="25"/>
  <c r="R187" i="25"/>
  <c r="R186" i="25"/>
  <c r="R185" i="25"/>
  <c r="R184" i="25"/>
  <c r="R183" i="25"/>
  <c r="R182" i="25"/>
  <c r="R181" i="25"/>
  <c r="R180" i="25"/>
  <c r="R179" i="25"/>
  <c r="R178" i="25"/>
  <c r="R177" i="25"/>
  <c r="R176" i="25"/>
  <c r="R175" i="25"/>
  <c r="R174" i="25"/>
  <c r="R173" i="25"/>
  <c r="R172" i="25"/>
  <c r="R171" i="25"/>
  <c r="R170" i="25"/>
  <c r="R169" i="25"/>
  <c r="R168" i="25"/>
  <c r="R167" i="25"/>
  <c r="R166" i="25"/>
  <c r="R165" i="25"/>
  <c r="R164" i="25"/>
  <c r="R163" i="25"/>
  <c r="R162" i="25"/>
  <c r="R161" i="25"/>
  <c r="R160" i="25"/>
  <c r="R159" i="25"/>
  <c r="R158" i="25"/>
  <c r="R157" i="25"/>
  <c r="R156" i="25"/>
  <c r="R155" i="25"/>
  <c r="R154" i="25"/>
  <c r="R153" i="25"/>
  <c r="R152" i="25"/>
  <c r="R151" i="25"/>
  <c r="R150" i="25"/>
  <c r="R149" i="25"/>
  <c r="R148" i="25"/>
  <c r="R147" i="25"/>
  <c r="R146" i="25"/>
  <c r="R145" i="25"/>
  <c r="R144" i="25"/>
  <c r="R143" i="25"/>
  <c r="R142" i="25"/>
  <c r="R141" i="25"/>
  <c r="R140" i="25"/>
  <c r="R139" i="25"/>
  <c r="R138" i="25"/>
  <c r="R137" i="25"/>
  <c r="R136" i="25"/>
  <c r="R135" i="25"/>
  <c r="R134" i="25"/>
  <c r="R133" i="25"/>
  <c r="R132" i="25"/>
  <c r="R131" i="25"/>
  <c r="R130" i="25"/>
  <c r="R129" i="25"/>
  <c r="R128" i="25"/>
  <c r="R127" i="25"/>
  <c r="R126" i="25"/>
  <c r="R125" i="25"/>
  <c r="R124" i="25"/>
  <c r="R123" i="25"/>
  <c r="R122" i="25"/>
  <c r="R121" i="25"/>
  <c r="R120" i="25"/>
  <c r="R119" i="25"/>
  <c r="R118" i="25"/>
  <c r="R117" i="25"/>
  <c r="R116" i="25"/>
  <c r="R115" i="25"/>
  <c r="R114" i="25"/>
  <c r="R113" i="25"/>
  <c r="R112" i="25"/>
  <c r="R111" i="25"/>
  <c r="R110" i="25"/>
  <c r="R109" i="25"/>
  <c r="R108" i="25"/>
  <c r="R107" i="25"/>
  <c r="R106" i="25"/>
  <c r="R105" i="25"/>
  <c r="R104" i="25"/>
  <c r="R103" i="25"/>
  <c r="R102" i="25"/>
  <c r="R101" i="25"/>
  <c r="R100" i="25"/>
  <c r="R99" i="25"/>
  <c r="R98" i="25"/>
  <c r="R97" i="25"/>
  <c r="R96" i="25"/>
  <c r="R95" i="25"/>
  <c r="R94" i="25"/>
  <c r="R93" i="25"/>
  <c r="R92" i="25"/>
  <c r="R91" i="25"/>
  <c r="R90" i="25"/>
  <c r="R89" i="25"/>
  <c r="R88" i="25"/>
  <c r="R87" i="25"/>
  <c r="R86" i="25"/>
  <c r="R85" i="25"/>
  <c r="R84" i="25"/>
  <c r="R83" i="25"/>
  <c r="R82" i="25"/>
  <c r="R81" i="25"/>
  <c r="R80" i="25"/>
  <c r="R79" i="25"/>
  <c r="R78" i="25"/>
  <c r="R77" i="25"/>
  <c r="R76" i="25"/>
  <c r="R75" i="25"/>
  <c r="R74" i="25"/>
  <c r="R73" i="25"/>
  <c r="R72" i="25"/>
  <c r="R71" i="25"/>
  <c r="R70" i="25"/>
  <c r="R69" i="25"/>
  <c r="R68" i="25"/>
  <c r="R67" i="25"/>
  <c r="R66" i="25"/>
  <c r="R65" i="25"/>
  <c r="R64" i="25"/>
  <c r="R63" i="25"/>
  <c r="R62" i="25"/>
  <c r="R61" i="25"/>
  <c r="R60" i="25"/>
  <c r="R59" i="25"/>
  <c r="R58" i="25"/>
  <c r="R57" i="25"/>
  <c r="R56" i="25"/>
  <c r="R55" i="25"/>
  <c r="R54" i="25"/>
  <c r="R53" i="25"/>
  <c r="R52" i="25"/>
  <c r="R51" i="25"/>
  <c r="R50" i="25"/>
  <c r="R49" i="25"/>
  <c r="R48" i="25"/>
  <c r="R47" i="25"/>
  <c r="R46" i="25"/>
  <c r="R45" i="25"/>
  <c r="R44" i="25"/>
  <c r="R43" i="25"/>
  <c r="R42" i="25"/>
  <c r="R41" i="25"/>
  <c r="R40" i="25"/>
  <c r="R39" i="25"/>
  <c r="R38" i="25"/>
  <c r="R37" i="25"/>
  <c r="R36" i="25"/>
  <c r="R35" i="25"/>
  <c r="R34" i="25"/>
  <c r="R33" i="25"/>
  <c r="R32" i="25"/>
  <c r="R31" i="25"/>
  <c r="R30" i="25"/>
  <c r="R29" i="25"/>
  <c r="R28" i="25"/>
  <c r="R27" i="25"/>
  <c r="R26" i="25"/>
  <c r="R25" i="25"/>
  <c r="R24" i="25"/>
  <c r="R23" i="25"/>
  <c r="R22" i="25"/>
  <c r="R21" i="25"/>
  <c r="R20" i="25"/>
  <c r="R19" i="25"/>
  <c r="R18" i="25"/>
  <c r="R17" i="25"/>
  <c r="R16" i="25"/>
  <c r="R15" i="25"/>
  <c r="R14" i="25"/>
  <c r="R13" i="25"/>
  <c r="R12" i="25"/>
  <c r="R11" i="25"/>
  <c r="R10" i="25"/>
  <c r="R9" i="25"/>
  <c r="R8" i="25"/>
  <c r="R7" i="25"/>
  <c r="R6" i="25"/>
  <c r="R5" i="25"/>
  <c r="R4" i="25"/>
  <c r="R3" i="25"/>
  <c r="R2" i="25"/>
  <c r="R360" i="25"/>
  <c r="R359" i="25"/>
  <c r="R361" i="25"/>
  <c r="P4" i="21"/>
  <c r="P1" i="21" s="1"/>
  <c r="P5" i="21"/>
  <c r="P2" i="21" s="1"/>
  <c r="K30" i="22" s="1"/>
  <c r="K31" i="22" s="1"/>
  <c r="B1" i="12"/>
  <c r="C1" i="12"/>
  <c r="D1" i="12"/>
  <c r="B5" i="12"/>
  <c r="C5" i="12"/>
  <c r="D5" i="12"/>
  <c r="B8" i="12"/>
  <c r="C8" i="12"/>
  <c r="D8" i="12"/>
  <c r="C3" i="3"/>
  <c r="A4" i="3"/>
  <c r="C4" i="3"/>
  <c r="A5" i="3"/>
  <c r="C5" i="3"/>
  <c r="A6" i="3"/>
  <c r="C6" i="3"/>
  <c r="A7" i="3"/>
  <c r="C7" i="3"/>
  <c r="A8" i="3"/>
  <c r="C8" i="3"/>
  <c r="A9" i="3"/>
  <c r="C9" i="3"/>
  <c r="A10" i="3"/>
  <c r="C10" i="3"/>
  <c r="A11" i="3"/>
  <c r="C11" i="3"/>
  <c r="A12" i="3"/>
  <c r="C12" i="3"/>
  <c r="A13" i="3"/>
  <c r="C13" i="3"/>
  <c r="A14" i="3"/>
  <c r="C14" i="3"/>
  <c r="A15" i="3"/>
  <c r="C15" i="3"/>
  <c r="A16" i="3"/>
  <c r="C16" i="3"/>
  <c r="A17" i="3"/>
  <c r="C17" i="3"/>
  <c r="A18" i="3"/>
  <c r="C18" i="3"/>
  <c r="A19" i="3"/>
  <c r="C19" i="3"/>
  <c r="A20" i="3"/>
  <c r="C20" i="3"/>
  <c r="A21" i="3"/>
  <c r="C21" i="3"/>
  <c r="A22" i="3"/>
  <c r="C22" i="3"/>
  <c r="A23" i="3"/>
  <c r="C23" i="3"/>
  <c r="A24" i="3"/>
  <c r="C24" i="3"/>
  <c r="A25" i="3"/>
  <c r="C25" i="3"/>
  <c r="A26" i="3"/>
  <c r="C26" i="3"/>
  <c r="A27" i="3"/>
  <c r="C27" i="3"/>
  <c r="A28" i="3"/>
  <c r="C28" i="3"/>
  <c r="A29" i="3"/>
  <c r="C29" i="3"/>
  <c r="A30" i="3"/>
  <c r="C30" i="3"/>
  <c r="A31" i="3"/>
  <c r="C31" i="3"/>
  <c r="A32" i="3"/>
  <c r="C32" i="3"/>
  <c r="A33" i="3"/>
  <c r="C33" i="3"/>
  <c r="A34" i="3"/>
  <c r="C34" i="3"/>
  <c r="A35" i="3"/>
  <c r="C35" i="3"/>
  <c r="A36" i="3"/>
  <c r="C36" i="3"/>
  <c r="A37" i="3"/>
  <c r="C37" i="3"/>
  <c r="A38" i="3"/>
  <c r="C38" i="3"/>
  <c r="A39" i="3"/>
  <c r="C39" i="3"/>
  <c r="A40" i="3"/>
  <c r="C40" i="3"/>
  <c r="A41" i="3"/>
  <c r="C41" i="3"/>
  <c r="A42" i="3"/>
  <c r="C42" i="3"/>
  <c r="A43" i="3"/>
  <c r="C43" i="3"/>
  <c r="A44" i="3"/>
  <c r="C44" i="3"/>
  <c r="A45" i="3"/>
  <c r="C45" i="3"/>
  <c r="A46" i="3"/>
  <c r="C46" i="3"/>
  <c r="A47" i="3"/>
  <c r="C47" i="3"/>
  <c r="A48" i="3"/>
  <c r="C48" i="3"/>
  <c r="A49" i="3"/>
  <c r="C49" i="3"/>
  <c r="A50" i="3"/>
  <c r="C50" i="3"/>
  <c r="A51" i="3"/>
  <c r="C51" i="3"/>
  <c r="A52" i="3"/>
  <c r="C52" i="3"/>
  <c r="A53" i="3"/>
  <c r="C53" i="3"/>
  <c r="A54" i="3"/>
  <c r="C54" i="3"/>
  <c r="A55" i="3"/>
  <c r="C55" i="3"/>
  <c r="A56" i="3"/>
  <c r="C56" i="3"/>
  <c r="A57" i="3"/>
  <c r="C57" i="3"/>
  <c r="A58" i="3"/>
  <c r="C58" i="3"/>
  <c r="A59" i="3"/>
  <c r="C59" i="3"/>
  <c r="A60" i="3"/>
  <c r="C60" i="3"/>
  <c r="A61" i="3"/>
  <c r="C61" i="3"/>
  <c r="A62" i="3"/>
  <c r="C62" i="3"/>
  <c r="A63" i="3"/>
  <c r="C63" i="3"/>
  <c r="A64" i="3"/>
  <c r="C64" i="3"/>
  <c r="A65" i="3"/>
  <c r="C65" i="3"/>
  <c r="A66" i="3"/>
  <c r="C66" i="3"/>
  <c r="A67" i="3"/>
  <c r="C67" i="3"/>
  <c r="A68" i="3"/>
  <c r="C68" i="3"/>
  <c r="A69" i="3"/>
  <c r="C69" i="3"/>
  <c r="A70" i="3"/>
  <c r="C70" i="3"/>
  <c r="A71" i="3"/>
  <c r="C71" i="3"/>
  <c r="A72" i="3"/>
  <c r="C72" i="3"/>
  <c r="A73" i="3"/>
  <c r="C73" i="3"/>
  <c r="A74" i="3"/>
  <c r="C74" i="3"/>
  <c r="A75" i="3"/>
  <c r="C75" i="3"/>
  <c r="A76" i="3"/>
  <c r="C76" i="3"/>
  <c r="A77" i="3"/>
  <c r="C77" i="3"/>
  <c r="A78" i="3"/>
  <c r="C78" i="3"/>
  <c r="A79" i="3"/>
  <c r="C79" i="3"/>
  <c r="A80" i="3"/>
  <c r="C80" i="3"/>
  <c r="A81" i="3"/>
  <c r="C81" i="3"/>
  <c r="A82" i="3"/>
  <c r="C82" i="3"/>
  <c r="A83" i="3"/>
  <c r="C83" i="3"/>
  <c r="A84" i="3"/>
  <c r="C84" i="3"/>
  <c r="A85" i="3"/>
  <c r="C85" i="3"/>
  <c r="A86" i="3"/>
  <c r="C86" i="3"/>
  <c r="A87" i="3"/>
  <c r="C87" i="3"/>
  <c r="A88" i="3"/>
  <c r="C88" i="3"/>
  <c r="A89" i="3"/>
  <c r="C89" i="3"/>
  <c r="A90" i="3"/>
  <c r="C90" i="3"/>
  <c r="A91" i="3"/>
  <c r="C91" i="3"/>
  <c r="A92" i="3"/>
  <c r="C92" i="3"/>
  <c r="A93" i="3"/>
  <c r="C93" i="3"/>
  <c r="A94" i="3"/>
  <c r="C94" i="3"/>
  <c r="A95" i="3"/>
  <c r="C95" i="3"/>
  <c r="A96" i="3"/>
  <c r="C96" i="3"/>
  <c r="A97" i="3"/>
  <c r="C97" i="3"/>
  <c r="A98" i="3"/>
  <c r="C98" i="3"/>
  <c r="A99" i="3"/>
  <c r="C99" i="3"/>
  <c r="A100" i="3"/>
  <c r="C100" i="3"/>
  <c r="A101" i="3"/>
  <c r="C101" i="3"/>
  <c r="A102" i="3"/>
  <c r="C102" i="3"/>
  <c r="A103" i="3"/>
  <c r="C103" i="3"/>
  <c r="A104" i="3"/>
  <c r="C104" i="3"/>
  <c r="A105" i="3"/>
  <c r="C105" i="3"/>
  <c r="A106" i="3"/>
  <c r="C106" i="3"/>
  <c r="A107" i="3"/>
  <c r="C107" i="3"/>
  <c r="A108" i="3"/>
  <c r="C108" i="3"/>
  <c r="A109" i="3"/>
  <c r="C109" i="3"/>
  <c r="A110" i="3"/>
  <c r="C110" i="3"/>
  <c r="A111" i="3"/>
  <c r="B111" i="3"/>
  <c r="B3" i="3"/>
  <c r="C111" i="3"/>
  <c r="F111" i="3"/>
  <c r="D111" i="3"/>
  <c r="D3" i="3"/>
  <c r="E111" i="3"/>
  <c r="E3" i="3"/>
  <c r="G111" i="3"/>
  <c r="G3" i="3"/>
  <c r="V37" i="22"/>
  <c r="V38" i="22"/>
  <c r="AO1" i="2"/>
  <c r="AT1" i="2"/>
  <c r="AO2" i="2"/>
  <c r="V4" i="2"/>
  <c r="V5" i="2"/>
  <c r="C8" i="2"/>
  <c r="B10" i="2"/>
  <c r="C10" i="2" s="1"/>
  <c r="K15" i="2" s="1"/>
  <c r="O12" i="2"/>
  <c r="M117" i="2" s="1"/>
  <c r="Q12" i="2"/>
  <c r="M26" i="2" s="1"/>
  <c r="S12" i="2"/>
  <c r="M45" i="2" s="1"/>
  <c r="M39" i="2" s="1"/>
  <c r="C14" i="2"/>
  <c r="B16" i="2"/>
  <c r="C16" i="2" s="1"/>
  <c r="K16" i="2" s="1"/>
  <c r="C45" i="2"/>
  <c r="B47" i="2"/>
  <c r="C47" i="2" s="1"/>
  <c r="L52" i="2" s="1"/>
  <c r="C51" i="2"/>
  <c r="B53" i="2"/>
  <c r="C53" i="2" s="1"/>
  <c r="L53" i="2" s="1"/>
  <c r="C63" i="2"/>
  <c r="C64" i="2"/>
  <c r="B65" i="2"/>
  <c r="C65" i="2" s="1"/>
  <c r="K70" i="2" s="1"/>
  <c r="C69" i="2"/>
  <c r="B71" i="2"/>
  <c r="C71" i="2" s="1"/>
  <c r="K71" i="2" s="1"/>
  <c r="C81" i="2"/>
  <c r="C82" i="2"/>
  <c r="B83" i="2"/>
  <c r="C83" i="2" s="1"/>
  <c r="L88" i="2" s="1"/>
  <c r="C87" i="2"/>
  <c r="B89" i="2"/>
  <c r="C89" i="2" s="1"/>
  <c r="L89" i="2" s="1"/>
  <c r="C99" i="2"/>
  <c r="C100" i="2"/>
  <c r="B101" i="2"/>
  <c r="C101" i="2" s="1"/>
  <c r="L106" i="2" s="1"/>
  <c r="C105" i="2"/>
  <c r="B107" i="2"/>
  <c r="C107" i="2" s="1"/>
  <c r="L107" i="2" s="1"/>
  <c r="C117" i="2"/>
  <c r="C118" i="2"/>
  <c r="B119" i="2"/>
  <c r="C119" i="2" s="1"/>
  <c r="K124" i="2" s="1"/>
  <c r="C123" i="2"/>
  <c r="B125" i="2"/>
  <c r="C125" i="2" s="1"/>
  <c r="M129" i="2"/>
  <c r="C134" i="2"/>
  <c r="B137" i="2"/>
  <c r="C140" i="2"/>
  <c r="C142" i="2"/>
  <c r="B143" i="2"/>
  <c r="M147" i="2"/>
  <c r="C152" i="2"/>
  <c r="C154" i="2" s="1"/>
  <c r="B155" i="2"/>
  <c r="C158" i="2"/>
  <c r="C160" i="2"/>
  <c r="B161" i="2"/>
  <c r="C171" i="2"/>
  <c r="C172" i="2"/>
  <c r="B173" i="2"/>
  <c r="C173" i="2" s="1"/>
  <c r="L178" i="2" s="1"/>
  <c r="C177" i="2"/>
  <c r="B179" i="2"/>
  <c r="C179" i="2" s="1"/>
  <c r="L179" i="2" s="1"/>
  <c r="J180" i="2"/>
  <c r="J179" i="2" s="1"/>
  <c r="C189" i="2"/>
  <c r="C190" i="2"/>
  <c r="B191" i="2"/>
  <c r="C191" i="2" s="1"/>
  <c r="C195" i="2"/>
  <c r="B197" i="2"/>
  <c r="C197" i="2" s="1"/>
  <c r="L197" i="2" s="1"/>
  <c r="J198" i="2"/>
  <c r="J197" i="2" s="1"/>
  <c r="C207" i="2"/>
  <c r="C208" i="2"/>
  <c r="B209" i="2"/>
  <c r="C209" i="2" s="1"/>
  <c r="L214" i="2" s="1"/>
  <c r="C213" i="2"/>
  <c r="B215" i="2"/>
  <c r="C215" i="2" s="1"/>
  <c r="L215" i="2" s="1"/>
  <c r="J216" i="2"/>
  <c r="J215" i="2" s="1"/>
  <c r="C225" i="2"/>
  <c r="C226" i="2"/>
  <c r="B227" i="2"/>
  <c r="C227" i="2" s="1"/>
  <c r="L232" i="2" s="1"/>
  <c r="C231" i="2"/>
  <c r="B233" i="2"/>
  <c r="C233" i="2" s="1"/>
  <c r="L233" i="2" s="1"/>
  <c r="J234" i="2"/>
  <c r="J233" i="2" s="1"/>
  <c r="C243" i="2"/>
  <c r="C244" i="2"/>
  <c r="B245" i="2"/>
  <c r="C245" i="2" s="1"/>
  <c r="L250" i="2" s="1"/>
  <c r="C249" i="2"/>
  <c r="B251" i="2"/>
  <c r="C251" i="2" s="1"/>
  <c r="L251" i="2" s="1"/>
  <c r="J252" i="2"/>
  <c r="J251" i="2" s="1"/>
  <c r="C262" i="2"/>
  <c r="C263" i="2"/>
  <c r="B264" i="2"/>
  <c r="C264" i="2" s="1"/>
  <c r="L269" i="2" s="1"/>
  <c r="C268" i="2"/>
  <c r="B270" i="2"/>
  <c r="C270" i="2" s="1"/>
  <c r="L270" i="2" s="1"/>
  <c r="B9" i="1"/>
  <c r="B14" i="1" s="1"/>
  <c r="B18" i="1"/>
  <c r="B2" i="28" s="1"/>
  <c r="B20" i="1"/>
  <c r="B29" i="1"/>
  <c r="B35" i="1"/>
  <c r="B38" i="1" s="1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B5" i="16"/>
  <c r="C113" i="16"/>
  <c r="G37" i="22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E113" i="16"/>
  <c r="H113" i="16"/>
  <c r="H112" i="16"/>
  <c r="H111" i="16"/>
  <c r="H110" i="16"/>
  <c r="H109" i="16"/>
  <c r="H108" i="16"/>
  <c r="H107" i="16"/>
  <c r="H106" i="16"/>
  <c r="H105" i="16"/>
  <c r="H104" i="16"/>
  <c r="H103" i="16"/>
  <c r="H102" i="16"/>
  <c r="H101" i="16"/>
  <c r="H100" i="16"/>
  <c r="H99" i="16"/>
  <c r="H98" i="16"/>
  <c r="H97" i="16"/>
  <c r="H96" i="16"/>
  <c r="H95" i="16"/>
  <c r="H94" i="16"/>
  <c r="H93" i="16"/>
  <c r="H92" i="16"/>
  <c r="H91" i="16"/>
  <c r="H90" i="16"/>
  <c r="H89" i="16"/>
  <c r="H88" i="16"/>
  <c r="H87" i="16"/>
  <c r="H86" i="16"/>
  <c r="H85" i="16"/>
  <c r="H84" i="16"/>
  <c r="H83" i="16"/>
  <c r="H82" i="16"/>
  <c r="H81" i="16"/>
  <c r="H80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H57" i="16"/>
  <c r="H56" i="16"/>
  <c r="H55" i="16"/>
  <c r="H54" i="16"/>
  <c r="H53" i="16"/>
  <c r="H52" i="16"/>
  <c r="H51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8" i="16"/>
  <c r="H7" i="16"/>
  <c r="H6" i="16"/>
  <c r="H5" i="16"/>
  <c r="G113" i="16"/>
  <c r="J113" i="16"/>
  <c r="J112" i="16"/>
  <c r="J111" i="16"/>
  <c r="J110" i="16"/>
  <c r="J109" i="16"/>
  <c r="J108" i="16"/>
  <c r="J107" i="16"/>
  <c r="J106" i="16"/>
  <c r="J105" i="16"/>
  <c r="J104" i="16"/>
  <c r="J103" i="16"/>
  <c r="J102" i="16"/>
  <c r="J101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7" i="16"/>
  <c r="J6" i="16"/>
  <c r="J5" i="16"/>
  <c r="Q31" i="1"/>
  <c r="O31" i="1"/>
  <c r="S31" i="1"/>
  <c r="AE11" i="25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G109" i="3"/>
  <c r="G108" i="3"/>
  <c r="G106" i="3"/>
  <c r="G105" i="3"/>
  <c r="G102" i="3"/>
  <c r="G100" i="3"/>
  <c r="G98" i="3"/>
  <c r="G95" i="3"/>
  <c r="G93" i="3"/>
  <c r="G91" i="3"/>
  <c r="G89" i="3"/>
  <c r="G87" i="3"/>
  <c r="G85" i="3"/>
  <c r="G83" i="3"/>
  <c r="G81" i="3"/>
  <c r="G80" i="3"/>
  <c r="G78" i="3"/>
  <c r="G77" i="3"/>
  <c r="G73" i="3"/>
  <c r="G71" i="3"/>
  <c r="G69" i="3"/>
  <c r="G67" i="3"/>
  <c r="G65" i="3"/>
  <c r="G62" i="3"/>
  <c r="G60" i="3"/>
  <c r="G58" i="3"/>
  <c r="G57" i="3"/>
  <c r="G56" i="3"/>
  <c r="G53" i="3"/>
  <c r="G51" i="3"/>
  <c r="G49" i="3"/>
  <c r="G47" i="3"/>
  <c r="G45" i="3"/>
  <c r="G44" i="3"/>
  <c r="G42" i="3"/>
  <c r="G40" i="3"/>
  <c r="G37" i="3"/>
  <c r="G36" i="3"/>
  <c r="G35" i="3"/>
  <c r="G34" i="3"/>
  <c r="G32" i="3"/>
  <c r="G30" i="3"/>
  <c r="G29" i="3"/>
  <c r="G28" i="3"/>
  <c r="G26" i="3"/>
  <c r="G24" i="3"/>
  <c r="G22" i="3"/>
  <c r="G20" i="3"/>
  <c r="G18" i="3"/>
  <c r="G16" i="3"/>
  <c r="G14" i="3"/>
  <c r="G12" i="3"/>
  <c r="G10" i="3"/>
  <c r="G6" i="3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G110" i="3"/>
  <c r="G107" i="3"/>
  <c r="G104" i="3"/>
  <c r="G103" i="3"/>
  <c r="G101" i="3"/>
  <c r="G99" i="3"/>
  <c r="G97" i="3"/>
  <c r="G96" i="3"/>
  <c r="G94" i="3"/>
  <c r="G92" i="3"/>
  <c r="G90" i="3"/>
  <c r="G88" i="3"/>
  <c r="G86" i="3"/>
  <c r="G84" i="3"/>
  <c r="G82" i="3"/>
  <c r="G79" i="3"/>
  <c r="G76" i="3"/>
  <c r="G75" i="3"/>
  <c r="G74" i="3"/>
  <c r="G72" i="3"/>
  <c r="G70" i="3"/>
  <c r="G68" i="3"/>
  <c r="G66" i="3"/>
  <c r="G64" i="3"/>
  <c r="G63" i="3"/>
  <c r="G61" i="3"/>
  <c r="G59" i="3"/>
  <c r="G55" i="3"/>
  <c r="G54" i="3"/>
  <c r="G52" i="3"/>
  <c r="G50" i="3"/>
  <c r="G48" i="3"/>
  <c r="G46" i="3"/>
  <c r="G43" i="3"/>
  <c r="G41" i="3"/>
  <c r="G39" i="3"/>
  <c r="G38" i="3"/>
  <c r="G33" i="3"/>
  <c r="G31" i="3"/>
  <c r="G27" i="3"/>
  <c r="G25" i="3"/>
  <c r="G23" i="3"/>
  <c r="G21" i="3"/>
  <c r="G19" i="3"/>
  <c r="G17" i="3"/>
  <c r="G15" i="3"/>
  <c r="G13" i="3"/>
  <c r="G11" i="3"/>
  <c r="G9" i="3"/>
  <c r="G8" i="3"/>
  <c r="G7" i="3"/>
  <c r="G5" i="3"/>
  <c r="G4" i="3"/>
  <c r="AG14" i="25"/>
  <c r="AG11" i="25"/>
  <c r="AC14" i="25"/>
  <c r="AC11" i="25"/>
  <c r="AE13" i="25"/>
  <c r="AE14" i="25"/>
  <c r="AA13" i="25"/>
  <c r="AA14" i="25"/>
  <c r="F113" i="16"/>
  <c r="F37" i="22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H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AB11" i="25"/>
  <c r="AA16" i="25"/>
  <c r="AA17" i="25"/>
  <c r="AA18" i="25"/>
  <c r="AC16" i="25"/>
  <c r="AC17" i="25"/>
  <c r="AC18" i="25"/>
  <c r="AE16" i="25"/>
  <c r="AE17" i="25"/>
  <c r="AE18" i="25"/>
  <c r="AG16" i="25"/>
  <c r="AG17" i="25"/>
  <c r="AG18" i="25"/>
  <c r="AB8" i="25"/>
  <c r="AB9" i="25"/>
  <c r="AB10" i="25"/>
  <c r="AD8" i="25"/>
  <c r="AD9" i="25"/>
  <c r="AD10" i="25"/>
  <c r="AF8" i="25"/>
  <c r="AF9" i="25"/>
  <c r="AF10" i="25"/>
  <c r="AH8" i="25"/>
  <c r="AH9" i="25"/>
  <c r="AH10" i="25"/>
  <c r="AB31" i="25"/>
  <c r="AD31" i="25"/>
  <c r="AF31" i="25"/>
  <c r="AH31" i="25"/>
  <c r="V34" i="26"/>
  <c r="Q81" i="26"/>
  <c r="R82" i="26"/>
  <c r="V82" i="26"/>
  <c r="T30" i="26"/>
  <c r="I363" i="33"/>
  <c r="F362" i="33"/>
  <c r="F361" i="33"/>
  <c r="F360" i="33"/>
  <c r="F359" i="33"/>
  <c r="F358" i="33"/>
  <c r="F357" i="33"/>
  <c r="F356" i="33"/>
  <c r="F355" i="33"/>
  <c r="F354" i="33"/>
  <c r="F353" i="33"/>
  <c r="F352" i="33"/>
  <c r="F351" i="33"/>
  <c r="F350" i="33"/>
  <c r="F349" i="33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F290" i="33"/>
  <c r="F289" i="33"/>
  <c r="F288" i="33"/>
  <c r="F287" i="33"/>
  <c r="F286" i="33"/>
  <c r="F285" i="33"/>
  <c r="F284" i="33"/>
  <c r="F283" i="33"/>
  <c r="F282" i="33"/>
  <c r="F281" i="33"/>
  <c r="F280" i="33"/>
  <c r="F279" i="33"/>
  <c r="F278" i="33"/>
  <c r="F277" i="33"/>
  <c r="F276" i="33"/>
  <c r="F275" i="33"/>
  <c r="F274" i="33"/>
  <c r="F273" i="33"/>
  <c r="F272" i="33"/>
  <c r="F271" i="33"/>
  <c r="F270" i="33"/>
  <c r="F269" i="33"/>
  <c r="F268" i="33"/>
  <c r="F267" i="33"/>
  <c r="F266" i="33"/>
  <c r="F265" i="33"/>
  <c r="F264" i="33"/>
  <c r="F263" i="33"/>
  <c r="F262" i="33"/>
  <c r="F261" i="33"/>
  <c r="F260" i="33"/>
  <c r="F259" i="33"/>
  <c r="F258" i="33"/>
  <c r="F257" i="33"/>
  <c r="F256" i="33"/>
  <c r="F255" i="33"/>
  <c r="F254" i="33"/>
  <c r="F253" i="33"/>
  <c r="F252" i="33"/>
  <c r="F251" i="33"/>
  <c r="F250" i="33"/>
  <c r="F249" i="33"/>
  <c r="F248" i="33"/>
  <c r="F247" i="33"/>
  <c r="F246" i="33"/>
  <c r="F245" i="33"/>
  <c r="F244" i="33"/>
  <c r="F243" i="33"/>
  <c r="F242" i="33"/>
  <c r="F241" i="33"/>
  <c r="F240" i="33"/>
  <c r="F239" i="33"/>
  <c r="F238" i="33"/>
  <c r="F237" i="33"/>
  <c r="F236" i="33"/>
  <c r="F235" i="33"/>
  <c r="F234" i="33"/>
  <c r="F233" i="33"/>
  <c r="F232" i="33"/>
  <c r="F231" i="33"/>
  <c r="F230" i="33"/>
  <c r="F229" i="33"/>
  <c r="F228" i="33"/>
  <c r="F227" i="33"/>
  <c r="F226" i="33"/>
  <c r="F225" i="33"/>
  <c r="F224" i="33"/>
  <c r="F223" i="33"/>
  <c r="F222" i="33"/>
  <c r="F221" i="33"/>
  <c r="F220" i="33"/>
  <c r="F219" i="33"/>
  <c r="F218" i="33"/>
  <c r="F217" i="33"/>
  <c r="F216" i="33"/>
  <c r="F215" i="33"/>
  <c r="F214" i="33"/>
  <c r="F213" i="33"/>
  <c r="F212" i="33"/>
  <c r="F211" i="33"/>
  <c r="F210" i="33"/>
  <c r="F209" i="33"/>
  <c r="F208" i="33"/>
  <c r="F207" i="33"/>
  <c r="F206" i="33"/>
  <c r="F205" i="33"/>
  <c r="F204" i="33"/>
  <c r="F203" i="33"/>
  <c r="F202" i="33"/>
  <c r="F201" i="33"/>
  <c r="F200" i="33"/>
  <c r="F199" i="33"/>
  <c r="F198" i="33"/>
  <c r="F197" i="33"/>
  <c r="F196" i="33"/>
  <c r="F195" i="33"/>
  <c r="F194" i="33"/>
  <c r="F193" i="33"/>
  <c r="F192" i="33"/>
  <c r="F191" i="33"/>
  <c r="F190" i="33"/>
  <c r="F189" i="33"/>
  <c r="F188" i="33"/>
  <c r="F187" i="33"/>
  <c r="F186" i="33"/>
  <c r="F185" i="33"/>
  <c r="F184" i="33"/>
  <c r="F183" i="33"/>
  <c r="F182" i="33"/>
  <c r="F181" i="33"/>
  <c r="F180" i="33"/>
  <c r="F179" i="33"/>
  <c r="F178" i="33"/>
  <c r="F177" i="33"/>
  <c r="F176" i="33"/>
  <c r="F175" i="33"/>
  <c r="F174" i="33"/>
  <c r="F173" i="33"/>
  <c r="F172" i="33"/>
  <c r="F171" i="33"/>
  <c r="F170" i="33"/>
  <c r="F169" i="33"/>
  <c r="F168" i="33"/>
  <c r="F167" i="33"/>
  <c r="F166" i="33"/>
  <c r="F165" i="33"/>
  <c r="F164" i="33"/>
  <c r="F163" i="33"/>
  <c r="F162" i="33"/>
  <c r="F161" i="33"/>
  <c r="F160" i="33"/>
  <c r="F159" i="33"/>
  <c r="F158" i="33"/>
  <c r="F157" i="33"/>
  <c r="F156" i="33"/>
  <c r="F155" i="33"/>
  <c r="F154" i="33"/>
  <c r="F153" i="33"/>
  <c r="F152" i="33"/>
  <c r="F151" i="33"/>
  <c r="F150" i="33"/>
  <c r="F149" i="33"/>
  <c r="F148" i="33"/>
  <c r="F147" i="33"/>
  <c r="F146" i="33"/>
  <c r="F145" i="33"/>
  <c r="F144" i="33"/>
  <c r="F143" i="33"/>
  <c r="F142" i="33"/>
  <c r="F141" i="33"/>
  <c r="F140" i="33"/>
  <c r="F139" i="33"/>
  <c r="F138" i="33"/>
  <c r="F137" i="33"/>
  <c r="F136" i="33"/>
  <c r="F135" i="33"/>
  <c r="F134" i="33"/>
  <c r="F133" i="33"/>
  <c r="F132" i="33"/>
  <c r="F131" i="33"/>
  <c r="F130" i="33"/>
  <c r="F129" i="33"/>
  <c r="F128" i="33"/>
  <c r="F127" i="33"/>
  <c r="F126" i="33"/>
  <c r="F125" i="33"/>
  <c r="F124" i="33"/>
  <c r="F123" i="33"/>
  <c r="F122" i="33"/>
  <c r="F121" i="33"/>
  <c r="F120" i="33"/>
  <c r="F119" i="33"/>
  <c r="F118" i="33"/>
  <c r="F117" i="33"/>
  <c r="F116" i="33"/>
  <c r="F115" i="33"/>
  <c r="F114" i="33"/>
  <c r="F113" i="33"/>
  <c r="F112" i="33"/>
  <c r="F111" i="33"/>
  <c r="F110" i="33"/>
  <c r="F109" i="33"/>
  <c r="F108" i="33"/>
  <c r="F107" i="33"/>
  <c r="F106" i="33"/>
  <c r="F105" i="33"/>
  <c r="F104" i="33"/>
  <c r="F103" i="33"/>
  <c r="F102" i="33"/>
  <c r="F101" i="33"/>
  <c r="F100" i="33"/>
  <c r="F99" i="33"/>
  <c r="F98" i="33"/>
  <c r="F97" i="33"/>
  <c r="F96" i="33"/>
  <c r="F95" i="33"/>
  <c r="F94" i="33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G363" i="33"/>
  <c r="D110" i="3"/>
  <c r="B110" i="3"/>
  <c r="D109" i="3"/>
  <c r="B109" i="3"/>
  <c r="D108" i="3"/>
  <c r="B108" i="3"/>
  <c r="D107" i="3"/>
  <c r="B107" i="3"/>
  <c r="D106" i="3"/>
  <c r="B106" i="3"/>
  <c r="D105" i="3"/>
  <c r="B105" i="3"/>
  <c r="D104" i="3"/>
  <c r="B104" i="3"/>
  <c r="D103" i="3"/>
  <c r="B103" i="3"/>
  <c r="D102" i="3"/>
  <c r="B102" i="3"/>
  <c r="D101" i="3"/>
  <c r="B101" i="3"/>
  <c r="D100" i="3"/>
  <c r="B100" i="3"/>
  <c r="D99" i="3"/>
  <c r="B99" i="3"/>
  <c r="D98" i="3"/>
  <c r="B98" i="3"/>
  <c r="D97" i="3"/>
  <c r="B97" i="3"/>
  <c r="D96" i="3"/>
  <c r="B96" i="3"/>
  <c r="D95" i="3"/>
  <c r="B95" i="3"/>
  <c r="D94" i="3"/>
  <c r="B94" i="3"/>
  <c r="D93" i="3"/>
  <c r="B93" i="3"/>
  <c r="D92" i="3"/>
  <c r="B92" i="3"/>
  <c r="D91" i="3"/>
  <c r="B91" i="3"/>
  <c r="D90" i="3"/>
  <c r="B90" i="3"/>
  <c r="D89" i="3"/>
  <c r="B89" i="3"/>
  <c r="D88" i="3"/>
  <c r="B88" i="3"/>
  <c r="D87" i="3"/>
  <c r="B87" i="3"/>
  <c r="D86" i="3"/>
  <c r="B86" i="3"/>
  <c r="D85" i="3"/>
  <c r="B85" i="3"/>
  <c r="D84" i="3"/>
  <c r="B84" i="3"/>
  <c r="D83" i="3"/>
  <c r="B83" i="3"/>
  <c r="D82" i="3"/>
  <c r="B82" i="3"/>
  <c r="D81" i="3"/>
  <c r="B81" i="3"/>
  <c r="D80" i="3"/>
  <c r="B80" i="3"/>
  <c r="D79" i="3"/>
  <c r="B79" i="3"/>
  <c r="D78" i="3"/>
  <c r="B78" i="3"/>
  <c r="D77" i="3"/>
  <c r="B77" i="3"/>
  <c r="D76" i="3"/>
  <c r="B76" i="3"/>
  <c r="D75" i="3"/>
  <c r="B75" i="3"/>
  <c r="D74" i="3"/>
  <c r="B74" i="3"/>
  <c r="D73" i="3"/>
  <c r="B73" i="3"/>
  <c r="D72" i="3"/>
  <c r="B72" i="3"/>
  <c r="D71" i="3"/>
  <c r="B71" i="3"/>
  <c r="D70" i="3"/>
  <c r="B70" i="3"/>
  <c r="D69" i="3"/>
  <c r="B69" i="3"/>
  <c r="D68" i="3"/>
  <c r="B68" i="3"/>
  <c r="D67" i="3"/>
  <c r="B67" i="3"/>
  <c r="D66" i="3"/>
  <c r="B66" i="3"/>
  <c r="D65" i="3"/>
  <c r="B65" i="3"/>
  <c r="D64" i="3"/>
  <c r="B64" i="3"/>
  <c r="D63" i="3"/>
  <c r="B63" i="3"/>
  <c r="D62" i="3"/>
  <c r="B62" i="3"/>
  <c r="D61" i="3"/>
  <c r="B61" i="3"/>
  <c r="D60" i="3"/>
  <c r="B60" i="3"/>
  <c r="D59" i="3"/>
  <c r="B59" i="3"/>
  <c r="D58" i="3"/>
  <c r="B58" i="3"/>
  <c r="D57" i="3"/>
  <c r="B57" i="3"/>
  <c r="D56" i="3"/>
  <c r="B56" i="3"/>
  <c r="D55" i="3"/>
  <c r="B55" i="3"/>
  <c r="D54" i="3"/>
  <c r="B54" i="3"/>
  <c r="D53" i="3"/>
  <c r="B53" i="3"/>
  <c r="D52" i="3"/>
  <c r="B52" i="3"/>
  <c r="D51" i="3"/>
  <c r="B51" i="3"/>
  <c r="D50" i="3"/>
  <c r="B50" i="3"/>
  <c r="D49" i="3"/>
  <c r="B49" i="3"/>
  <c r="D48" i="3"/>
  <c r="B48" i="3"/>
  <c r="D47" i="3"/>
  <c r="B47" i="3"/>
  <c r="D46" i="3"/>
  <c r="B46" i="3"/>
  <c r="D45" i="3"/>
  <c r="B45" i="3"/>
  <c r="D44" i="3"/>
  <c r="B44" i="3"/>
  <c r="D43" i="3"/>
  <c r="B43" i="3"/>
  <c r="D42" i="3"/>
  <c r="B42" i="3"/>
  <c r="D41" i="3"/>
  <c r="B41" i="3"/>
  <c r="D40" i="3"/>
  <c r="B40" i="3"/>
  <c r="D39" i="3"/>
  <c r="B39" i="3"/>
  <c r="D38" i="3"/>
  <c r="B38" i="3"/>
  <c r="D37" i="3"/>
  <c r="B37" i="3"/>
  <c r="D36" i="3"/>
  <c r="B36" i="3"/>
  <c r="D35" i="3"/>
  <c r="B35" i="3"/>
  <c r="D34" i="3"/>
  <c r="B34" i="3"/>
  <c r="D33" i="3"/>
  <c r="B33" i="3"/>
  <c r="D32" i="3"/>
  <c r="B32" i="3"/>
  <c r="D31" i="3"/>
  <c r="B31" i="3"/>
  <c r="D30" i="3"/>
  <c r="B30" i="3"/>
  <c r="D29" i="3"/>
  <c r="B29" i="3"/>
  <c r="D28" i="3"/>
  <c r="B28" i="3"/>
  <c r="D27" i="3"/>
  <c r="B27" i="3"/>
  <c r="D26" i="3"/>
  <c r="B26" i="3"/>
  <c r="D25" i="3"/>
  <c r="B25" i="3"/>
  <c r="D24" i="3"/>
  <c r="B24" i="3"/>
  <c r="D23" i="3"/>
  <c r="B23" i="3"/>
  <c r="D22" i="3"/>
  <c r="B22" i="3"/>
  <c r="D21" i="3"/>
  <c r="B21" i="3"/>
  <c r="D20" i="3"/>
  <c r="B20" i="3"/>
  <c r="D19" i="3"/>
  <c r="B19" i="3"/>
  <c r="D18" i="3"/>
  <c r="B18" i="3"/>
  <c r="D17" i="3"/>
  <c r="B17" i="3"/>
  <c r="D16" i="3"/>
  <c r="B16" i="3"/>
  <c r="D15" i="3"/>
  <c r="B15" i="3"/>
  <c r="D14" i="3"/>
  <c r="B14" i="3"/>
  <c r="D13" i="3"/>
  <c r="B13" i="3"/>
  <c r="D12" i="3"/>
  <c r="B12" i="3"/>
  <c r="D11" i="3"/>
  <c r="B11" i="3"/>
  <c r="D10" i="3"/>
  <c r="B10" i="3"/>
  <c r="D9" i="3"/>
  <c r="B9" i="3"/>
  <c r="D8" i="3"/>
  <c r="B8" i="3"/>
  <c r="D7" i="3"/>
  <c r="B7" i="3"/>
  <c r="D6" i="3"/>
  <c r="B6" i="3"/>
  <c r="D5" i="3"/>
  <c r="B5" i="3"/>
  <c r="D4" i="3"/>
  <c r="B4" i="3"/>
  <c r="V32" i="26"/>
  <c r="R32" i="26"/>
  <c r="Q33" i="26"/>
  <c r="R34" i="26"/>
  <c r="AC362" i="33"/>
  <c r="AC361" i="33"/>
  <c r="AC360" i="33"/>
  <c r="AC359" i="33"/>
  <c r="AC358" i="33"/>
  <c r="AC357" i="33"/>
  <c r="AC356" i="33"/>
  <c r="AC355" i="33"/>
  <c r="AC354" i="33"/>
  <c r="AC353" i="33"/>
  <c r="AC352" i="33"/>
  <c r="AC351" i="33"/>
  <c r="AC350" i="33"/>
  <c r="AC349" i="33"/>
  <c r="AC348" i="33"/>
  <c r="AC347" i="33"/>
  <c r="AC346" i="33"/>
  <c r="AC345" i="33"/>
  <c r="AC344" i="33"/>
  <c r="AC343" i="33"/>
  <c r="AC342" i="33"/>
  <c r="AC341" i="33"/>
  <c r="AC340" i="33"/>
  <c r="AC339" i="33"/>
  <c r="AC338" i="33"/>
  <c r="AC337" i="33"/>
  <c r="AC336" i="33"/>
  <c r="AC335" i="33"/>
  <c r="AC334" i="33"/>
  <c r="AC333" i="33"/>
  <c r="AC332" i="33"/>
  <c r="AC331" i="33"/>
  <c r="AC330" i="33"/>
  <c r="AC329" i="33"/>
  <c r="AC328" i="33"/>
  <c r="AC327" i="33"/>
  <c r="AC326" i="33"/>
  <c r="AC325" i="33"/>
  <c r="AC324" i="33"/>
  <c r="AC323" i="33"/>
  <c r="AC322" i="33"/>
  <c r="AC321" i="33"/>
  <c r="AC320" i="33"/>
  <c r="AC319" i="33"/>
  <c r="AC318" i="33"/>
  <c r="AC317" i="33"/>
  <c r="AC316" i="33"/>
  <c r="AC315" i="33"/>
  <c r="AC314" i="33"/>
  <c r="AC313" i="33"/>
  <c r="AC312" i="33"/>
  <c r="AC311" i="33"/>
  <c r="AC310" i="33"/>
  <c r="AC309" i="33"/>
  <c r="AC308" i="33"/>
  <c r="AC307" i="33"/>
  <c r="AC306" i="33"/>
  <c r="AC305" i="33"/>
  <c r="AC304" i="33"/>
  <c r="AC303" i="33"/>
  <c r="AC302" i="33"/>
  <c r="AC301" i="33"/>
  <c r="AC300" i="33"/>
  <c r="AC299" i="33"/>
  <c r="AC298" i="33"/>
  <c r="AC297" i="33"/>
  <c r="AC296" i="33"/>
  <c r="AC295" i="33"/>
  <c r="AC294" i="33"/>
  <c r="AC293" i="33"/>
  <c r="AC292" i="33"/>
  <c r="AC291" i="33"/>
  <c r="AC290" i="33"/>
  <c r="AC289" i="33"/>
  <c r="AC288" i="33"/>
  <c r="AC287" i="33"/>
  <c r="AC286" i="33"/>
  <c r="AC285" i="33"/>
  <c r="AC284" i="33"/>
  <c r="AC283" i="33"/>
  <c r="AC282" i="33"/>
  <c r="AC281" i="33"/>
  <c r="AC280" i="33"/>
  <c r="AC279" i="33"/>
  <c r="AC278" i="33"/>
  <c r="AC277" i="33"/>
  <c r="AC276" i="33"/>
  <c r="AC275" i="33"/>
  <c r="AC274" i="33"/>
  <c r="AC273" i="33"/>
  <c r="AC272" i="33"/>
  <c r="AC271" i="33"/>
  <c r="AC270" i="33"/>
  <c r="AC269" i="33"/>
  <c r="AC268" i="33"/>
  <c r="AC267" i="33"/>
  <c r="AC266" i="33"/>
  <c r="AC265" i="33"/>
  <c r="AC264" i="33"/>
  <c r="AC263" i="33"/>
  <c r="AC262" i="33"/>
  <c r="AC261" i="33"/>
  <c r="AC260" i="33"/>
  <c r="AC259" i="33"/>
  <c r="AC258" i="33"/>
  <c r="AC257" i="33"/>
  <c r="AC256" i="33"/>
  <c r="AC255" i="33"/>
  <c r="AC254" i="33"/>
  <c r="AC253" i="33"/>
  <c r="AC252" i="33"/>
  <c r="AC251" i="33"/>
  <c r="AC250" i="33"/>
  <c r="AC249" i="33"/>
  <c r="AC248" i="33"/>
  <c r="AC247" i="33"/>
  <c r="AC246" i="33"/>
  <c r="AC245" i="33"/>
  <c r="AC244" i="33"/>
  <c r="AC243" i="33"/>
  <c r="AC242" i="33"/>
  <c r="AC241" i="33"/>
  <c r="AC240" i="33"/>
  <c r="AC239" i="33"/>
  <c r="AC238" i="33"/>
  <c r="AC237" i="33"/>
  <c r="AC236" i="33"/>
  <c r="AC235" i="33"/>
  <c r="AC234" i="33"/>
  <c r="AC233" i="33"/>
  <c r="AC232" i="33"/>
  <c r="AC231" i="33"/>
  <c r="AC230" i="33"/>
  <c r="AC229" i="33"/>
  <c r="AC228" i="33"/>
  <c r="AC227" i="33"/>
  <c r="AC226" i="33"/>
  <c r="AC225" i="33"/>
  <c r="AC224" i="33"/>
  <c r="AC223" i="33"/>
  <c r="AC222" i="33"/>
  <c r="AC221" i="33"/>
  <c r="AC220" i="33"/>
  <c r="AC219" i="33"/>
  <c r="AC218" i="33"/>
  <c r="AC217" i="33"/>
  <c r="AC216" i="33"/>
  <c r="AC215" i="33"/>
  <c r="AC214" i="33"/>
  <c r="AC213" i="33"/>
  <c r="AC212" i="33"/>
  <c r="AC211" i="33"/>
  <c r="AC210" i="33"/>
  <c r="AC209" i="33"/>
  <c r="AC208" i="33"/>
  <c r="AC207" i="33"/>
  <c r="AC206" i="33"/>
  <c r="AC205" i="33"/>
  <c r="AC204" i="33"/>
  <c r="AC203" i="33"/>
  <c r="AC202" i="33"/>
  <c r="AC201" i="33"/>
  <c r="AC200" i="33"/>
  <c r="AC199" i="33"/>
  <c r="AC198" i="33"/>
  <c r="AC197" i="33"/>
  <c r="AC196" i="33"/>
  <c r="AC195" i="33"/>
  <c r="AC194" i="33"/>
  <c r="AC193" i="33"/>
  <c r="AC192" i="33"/>
  <c r="AC191" i="33"/>
  <c r="AC190" i="33"/>
  <c r="AC189" i="33"/>
  <c r="AC188" i="33"/>
  <c r="AC187" i="33"/>
  <c r="AC186" i="33"/>
  <c r="AC185" i="33"/>
  <c r="AC184" i="33"/>
  <c r="AC183" i="33"/>
  <c r="AC182" i="33"/>
  <c r="AC181" i="33"/>
  <c r="AC180" i="33"/>
  <c r="AC179" i="33"/>
  <c r="AC178" i="33"/>
  <c r="AC177" i="33"/>
  <c r="AC176" i="33"/>
  <c r="AC175" i="33"/>
  <c r="AC174" i="33"/>
  <c r="AC173" i="33"/>
  <c r="AC172" i="33"/>
  <c r="AC171" i="33"/>
  <c r="AC170" i="33"/>
  <c r="AC169" i="33"/>
  <c r="AC168" i="33"/>
  <c r="AC167" i="33"/>
  <c r="AC166" i="33"/>
  <c r="AC165" i="33"/>
  <c r="AC164" i="33"/>
  <c r="AC163" i="33"/>
  <c r="AC162" i="33"/>
  <c r="AC161" i="33"/>
  <c r="AC160" i="33"/>
  <c r="AC159" i="33"/>
  <c r="AC158" i="33"/>
  <c r="AC157" i="33"/>
  <c r="AC156" i="33"/>
  <c r="AC155" i="33"/>
  <c r="AC154" i="33"/>
  <c r="AC153" i="33"/>
  <c r="AC152" i="33"/>
  <c r="AC151" i="33"/>
  <c r="AC150" i="33"/>
  <c r="AC149" i="33"/>
  <c r="AC148" i="33"/>
  <c r="AC147" i="33"/>
  <c r="AC146" i="33"/>
  <c r="AC145" i="33"/>
  <c r="AC144" i="33"/>
  <c r="AC143" i="33"/>
  <c r="AC142" i="33"/>
  <c r="AC141" i="33"/>
  <c r="AC140" i="33"/>
  <c r="AC139" i="33"/>
  <c r="AC138" i="33"/>
  <c r="AC137" i="33"/>
  <c r="AC136" i="33"/>
  <c r="AC135" i="33"/>
  <c r="AC134" i="33"/>
  <c r="AC133" i="33"/>
  <c r="AC132" i="33"/>
  <c r="AC131" i="33"/>
  <c r="AC130" i="33"/>
  <c r="AC129" i="33"/>
  <c r="AC128" i="33"/>
  <c r="AC127" i="33"/>
  <c r="AC126" i="33"/>
  <c r="AC125" i="33"/>
  <c r="AC124" i="33"/>
  <c r="AC123" i="33"/>
  <c r="AC122" i="33"/>
  <c r="AC121" i="33"/>
  <c r="AC120" i="33"/>
  <c r="AC119" i="33"/>
  <c r="AC118" i="33"/>
  <c r="AC117" i="33"/>
  <c r="AC116" i="33"/>
  <c r="AC115" i="33"/>
  <c r="AC114" i="33"/>
  <c r="AC113" i="33"/>
  <c r="AC112" i="33"/>
  <c r="AC111" i="33"/>
  <c r="AC110" i="33"/>
  <c r="AC109" i="33"/>
  <c r="AC108" i="33"/>
  <c r="AC107" i="33"/>
  <c r="AC106" i="33"/>
  <c r="AC105" i="33"/>
  <c r="AC104" i="33"/>
  <c r="AC103" i="33"/>
  <c r="AC102" i="33"/>
  <c r="AC101" i="33"/>
  <c r="AC100" i="33"/>
  <c r="AC99" i="33"/>
  <c r="AC98" i="33"/>
  <c r="AC97" i="33"/>
  <c r="AC96" i="33"/>
  <c r="AC95" i="33"/>
  <c r="AC94" i="33"/>
  <c r="AC93" i="33"/>
  <c r="AC92" i="33"/>
  <c r="AC91" i="33"/>
  <c r="AC90" i="33"/>
  <c r="AC89" i="33"/>
  <c r="AC88" i="33"/>
  <c r="AC87" i="33"/>
  <c r="AC86" i="33"/>
  <c r="AC85" i="33"/>
  <c r="AC84" i="33"/>
  <c r="AC83" i="33"/>
  <c r="AC82" i="33"/>
  <c r="AC81" i="33"/>
  <c r="AC80" i="33"/>
  <c r="AC79" i="33"/>
  <c r="AC78" i="33"/>
  <c r="AC77" i="33"/>
  <c r="AC76" i="33"/>
  <c r="AC75" i="33"/>
  <c r="AC74" i="33"/>
  <c r="AC73" i="33"/>
  <c r="AC72" i="33"/>
  <c r="AC71" i="33"/>
  <c r="AC70" i="33"/>
  <c r="AC69" i="33"/>
  <c r="AC68" i="33"/>
  <c r="AC67" i="33"/>
  <c r="AC66" i="33"/>
  <c r="AC65" i="33"/>
  <c r="AC64" i="33"/>
  <c r="AC63" i="33"/>
  <c r="AC62" i="33"/>
  <c r="AC61" i="33"/>
  <c r="AC60" i="33"/>
  <c r="AC59" i="33"/>
  <c r="AC58" i="33"/>
  <c r="AC57" i="33"/>
  <c r="AC56" i="33"/>
  <c r="AC55" i="33"/>
  <c r="AC54" i="33"/>
  <c r="AC53" i="33"/>
  <c r="AC52" i="33"/>
  <c r="AC51" i="33"/>
  <c r="AC50" i="33"/>
  <c r="AC49" i="33"/>
  <c r="AC48" i="33"/>
  <c r="AC47" i="33"/>
  <c r="AC46" i="33"/>
  <c r="AC45" i="33"/>
  <c r="AC44" i="33"/>
  <c r="AC43" i="33"/>
  <c r="AC42" i="33"/>
  <c r="AC41" i="33"/>
  <c r="AC40" i="33"/>
  <c r="AC39" i="33"/>
  <c r="AC38" i="33"/>
  <c r="AC37" i="33"/>
  <c r="AC36" i="33"/>
  <c r="AC35" i="33"/>
  <c r="AC34" i="33"/>
  <c r="AC33" i="33"/>
  <c r="AC32" i="33"/>
  <c r="AC31" i="33"/>
  <c r="AC30" i="33"/>
  <c r="AC29" i="33"/>
  <c r="AC28" i="33"/>
  <c r="AC27" i="33"/>
  <c r="AC26" i="33"/>
  <c r="AC25" i="33"/>
  <c r="AC24" i="33"/>
  <c r="AC23" i="33"/>
  <c r="AC22" i="33"/>
  <c r="AC21" i="33"/>
  <c r="AC20" i="33"/>
  <c r="AC19" i="33"/>
  <c r="AC18" i="33"/>
  <c r="AC17" i="33"/>
  <c r="AC16" i="33"/>
  <c r="AC15" i="33"/>
  <c r="AC14" i="33"/>
  <c r="AC13" i="33"/>
  <c r="AC12" i="33"/>
  <c r="AC11" i="33"/>
  <c r="AC10" i="33"/>
  <c r="AC9" i="33"/>
  <c r="AC8" i="33"/>
  <c r="AC7" i="33"/>
  <c r="AC6" i="33"/>
  <c r="AC5" i="33"/>
  <c r="AC4" i="33"/>
  <c r="AC3" i="33"/>
  <c r="AF363" i="33"/>
  <c r="H363" i="33"/>
  <c r="E362" i="33"/>
  <c r="E361" i="33"/>
  <c r="E360" i="33"/>
  <c r="E359" i="33"/>
  <c r="E358" i="33"/>
  <c r="E357" i="33"/>
  <c r="E356" i="33"/>
  <c r="E355" i="33"/>
  <c r="E354" i="33"/>
  <c r="E353" i="33"/>
  <c r="E352" i="33"/>
  <c r="E351" i="33"/>
  <c r="E350" i="33"/>
  <c r="E349" i="33"/>
  <c r="E348" i="33"/>
  <c r="E347" i="33"/>
  <c r="E346" i="33"/>
  <c r="E345" i="33"/>
  <c r="E344" i="33"/>
  <c r="E343" i="33"/>
  <c r="E342" i="33"/>
  <c r="E341" i="33"/>
  <c r="E340" i="33"/>
  <c r="E339" i="33"/>
  <c r="E338" i="33"/>
  <c r="E337" i="33"/>
  <c r="E336" i="33"/>
  <c r="E335" i="33"/>
  <c r="E334" i="33"/>
  <c r="E333" i="33"/>
  <c r="E332" i="33"/>
  <c r="E331" i="33"/>
  <c r="E330" i="33"/>
  <c r="E329" i="33"/>
  <c r="E328" i="33"/>
  <c r="E327" i="33"/>
  <c r="E326" i="33"/>
  <c r="E325" i="33"/>
  <c r="E324" i="33"/>
  <c r="E323" i="33"/>
  <c r="E322" i="33"/>
  <c r="E321" i="33"/>
  <c r="E320" i="33"/>
  <c r="E319" i="33"/>
  <c r="E318" i="33"/>
  <c r="E317" i="33"/>
  <c r="E316" i="33"/>
  <c r="E315" i="33"/>
  <c r="E314" i="33"/>
  <c r="E313" i="33"/>
  <c r="E312" i="33"/>
  <c r="E311" i="33"/>
  <c r="E310" i="33"/>
  <c r="E309" i="33"/>
  <c r="E308" i="33"/>
  <c r="E307" i="33"/>
  <c r="E306" i="33"/>
  <c r="E305" i="33"/>
  <c r="E304" i="33"/>
  <c r="E303" i="33"/>
  <c r="E302" i="33"/>
  <c r="E301" i="33"/>
  <c r="E300" i="33"/>
  <c r="E299" i="33"/>
  <c r="E298" i="33"/>
  <c r="E297" i="33"/>
  <c r="E296" i="33"/>
  <c r="E295" i="33"/>
  <c r="E294" i="33"/>
  <c r="E293" i="33"/>
  <c r="E292" i="33"/>
  <c r="E291" i="33"/>
  <c r="E290" i="33"/>
  <c r="E289" i="33"/>
  <c r="E288" i="33"/>
  <c r="E287" i="33"/>
  <c r="E286" i="33"/>
  <c r="E285" i="33"/>
  <c r="E284" i="33"/>
  <c r="E283" i="33"/>
  <c r="E282" i="33"/>
  <c r="E281" i="33"/>
  <c r="E280" i="33"/>
  <c r="E279" i="33"/>
  <c r="E278" i="33"/>
  <c r="E277" i="33"/>
  <c r="E276" i="33"/>
  <c r="E275" i="33"/>
  <c r="E274" i="33"/>
  <c r="E273" i="33"/>
  <c r="E272" i="33"/>
  <c r="E271" i="33"/>
  <c r="E270" i="33"/>
  <c r="E269" i="33"/>
  <c r="E268" i="33"/>
  <c r="E267" i="33"/>
  <c r="E266" i="33"/>
  <c r="E265" i="33"/>
  <c r="E264" i="33"/>
  <c r="E263" i="33"/>
  <c r="E262" i="33"/>
  <c r="E261" i="33"/>
  <c r="E260" i="33"/>
  <c r="E259" i="33"/>
  <c r="E258" i="33"/>
  <c r="E257" i="33"/>
  <c r="E256" i="33"/>
  <c r="E255" i="33"/>
  <c r="E254" i="33"/>
  <c r="E253" i="33"/>
  <c r="E252" i="33"/>
  <c r="E251" i="33"/>
  <c r="E250" i="33"/>
  <c r="E249" i="33"/>
  <c r="E248" i="33"/>
  <c r="E247" i="33"/>
  <c r="E246" i="33"/>
  <c r="E245" i="33"/>
  <c r="E244" i="33"/>
  <c r="E243" i="33"/>
  <c r="E242" i="33"/>
  <c r="E241" i="33"/>
  <c r="E240" i="33"/>
  <c r="E239" i="33"/>
  <c r="E238" i="33"/>
  <c r="E237" i="33"/>
  <c r="E236" i="33"/>
  <c r="E235" i="33"/>
  <c r="E234" i="33"/>
  <c r="E233" i="33"/>
  <c r="E232" i="33"/>
  <c r="E231" i="33"/>
  <c r="E230" i="33"/>
  <c r="E229" i="33"/>
  <c r="E228" i="33"/>
  <c r="E227" i="33"/>
  <c r="E226" i="33"/>
  <c r="E225" i="33"/>
  <c r="E224" i="33"/>
  <c r="E223" i="33"/>
  <c r="E222" i="33"/>
  <c r="E221" i="33"/>
  <c r="E220" i="33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O363" i="33"/>
  <c r="BH202" i="25"/>
  <c r="BH203" i="25"/>
  <c r="AE22" i="25"/>
  <c r="AN183" i="25"/>
  <c r="AN184" i="25"/>
  <c r="AE19" i="25"/>
  <c r="AY193" i="25"/>
  <c r="AY194" i="25"/>
  <c r="AE21" i="25"/>
  <c r="AE23" i="25"/>
  <c r="BD202" i="25"/>
  <c r="BD203" i="25"/>
  <c r="AA22" i="25"/>
  <c r="AJ183" i="25"/>
  <c r="AJ184" i="25"/>
  <c r="AA19" i="25"/>
  <c r="AU193" i="25"/>
  <c r="AU194" i="25"/>
  <c r="AA21" i="25"/>
  <c r="AA23" i="25"/>
  <c r="BJ202" i="25"/>
  <c r="BJ203" i="25"/>
  <c r="AG22" i="25"/>
  <c r="BA193" i="25"/>
  <c r="BA194" i="25"/>
  <c r="AG21" i="25"/>
  <c r="AG23" i="25"/>
  <c r="AP183" i="25"/>
  <c r="AP184" i="25"/>
  <c r="AG19" i="25"/>
  <c r="BF202" i="25"/>
  <c r="BF203" i="25"/>
  <c r="AC22" i="25"/>
  <c r="AL183" i="25"/>
  <c r="AL184" i="25"/>
  <c r="AC19" i="25"/>
  <c r="AW193" i="25"/>
  <c r="AW194" i="25"/>
  <c r="AC21" i="25"/>
  <c r="AC23" i="25"/>
  <c r="O362" i="33"/>
  <c r="O361" i="33"/>
  <c r="O360" i="33"/>
  <c r="O359" i="33"/>
  <c r="O358" i="33"/>
  <c r="O357" i="33"/>
  <c r="O356" i="33"/>
  <c r="O355" i="33"/>
  <c r="O354" i="33"/>
  <c r="O353" i="33"/>
  <c r="O352" i="33"/>
  <c r="O351" i="33"/>
  <c r="O350" i="33"/>
  <c r="O349" i="33"/>
  <c r="O348" i="33"/>
  <c r="O347" i="33"/>
  <c r="O346" i="33"/>
  <c r="O345" i="33"/>
  <c r="O344" i="33"/>
  <c r="O343" i="33"/>
  <c r="O342" i="33"/>
  <c r="O341" i="33"/>
  <c r="O340" i="33"/>
  <c r="O339" i="33"/>
  <c r="O338" i="33"/>
  <c r="O337" i="33"/>
  <c r="O336" i="33"/>
  <c r="O335" i="33"/>
  <c r="O334" i="33"/>
  <c r="O333" i="33"/>
  <c r="O332" i="33"/>
  <c r="O331" i="33"/>
  <c r="O330" i="33"/>
  <c r="O329" i="33"/>
  <c r="O328" i="33"/>
  <c r="O327" i="33"/>
  <c r="O326" i="33"/>
  <c r="O325" i="33"/>
  <c r="O324" i="33"/>
  <c r="O323" i="33"/>
  <c r="O322" i="33"/>
  <c r="O321" i="33"/>
  <c r="O320" i="33"/>
  <c r="O319" i="33"/>
  <c r="O318" i="33"/>
  <c r="O317" i="33"/>
  <c r="O316" i="33"/>
  <c r="O315" i="33"/>
  <c r="O314" i="33"/>
  <c r="O313" i="33"/>
  <c r="O312" i="33"/>
  <c r="O311" i="33"/>
  <c r="O310" i="33"/>
  <c r="O309" i="33"/>
  <c r="O308" i="33"/>
  <c r="O307" i="33"/>
  <c r="O306" i="33"/>
  <c r="O305" i="33"/>
  <c r="O304" i="33"/>
  <c r="O303" i="33"/>
  <c r="O302" i="33"/>
  <c r="O301" i="33"/>
  <c r="O300" i="33"/>
  <c r="O299" i="33"/>
  <c r="O298" i="33"/>
  <c r="O297" i="33"/>
  <c r="O296" i="33"/>
  <c r="O295" i="33"/>
  <c r="O294" i="33"/>
  <c r="O293" i="33"/>
  <c r="O292" i="33"/>
  <c r="O291" i="33"/>
  <c r="O290" i="33"/>
  <c r="O289" i="33"/>
  <c r="O288" i="33"/>
  <c r="O287" i="33"/>
  <c r="O286" i="33"/>
  <c r="O285" i="33"/>
  <c r="O284" i="33"/>
  <c r="O283" i="33"/>
  <c r="O282" i="33"/>
  <c r="O281" i="33"/>
  <c r="O280" i="33"/>
  <c r="O279" i="33"/>
  <c r="O278" i="33"/>
  <c r="O277" i="33"/>
  <c r="O276" i="33"/>
  <c r="O275" i="33"/>
  <c r="O274" i="33"/>
  <c r="O273" i="33"/>
  <c r="O272" i="33"/>
  <c r="O271" i="33"/>
  <c r="O270" i="33"/>
  <c r="O269" i="33"/>
  <c r="O268" i="33"/>
  <c r="O267" i="33"/>
  <c r="O266" i="33"/>
  <c r="O265" i="33"/>
  <c r="O264" i="33"/>
  <c r="O263" i="33"/>
  <c r="O262" i="33"/>
  <c r="O261" i="33"/>
  <c r="O260" i="33"/>
  <c r="O259" i="33"/>
  <c r="O258" i="33"/>
  <c r="O257" i="33"/>
  <c r="O256" i="33"/>
  <c r="O255" i="33"/>
  <c r="O254" i="33"/>
  <c r="O253" i="33"/>
  <c r="O252" i="33"/>
  <c r="O251" i="33"/>
  <c r="O250" i="33"/>
  <c r="O249" i="33"/>
  <c r="O248" i="33"/>
  <c r="O247" i="33"/>
  <c r="O246" i="33"/>
  <c r="O245" i="33"/>
  <c r="O244" i="33"/>
  <c r="O243" i="33"/>
  <c r="O242" i="33"/>
  <c r="O241" i="33"/>
  <c r="O240" i="33"/>
  <c r="O239" i="33"/>
  <c r="O238" i="33"/>
  <c r="O237" i="33"/>
  <c r="O236" i="33"/>
  <c r="O235" i="33"/>
  <c r="O234" i="33"/>
  <c r="O233" i="33"/>
  <c r="O232" i="33"/>
  <c r="O231" i="33"/>
  <c r="O230" i="33"/>
  <c r="O229" i="33"/>
  <c r="O228" i="33"/>
  <c r="O227" i="33"/>
  <c r="O226" i="33"/>
  <c r="O225" i="33"/>
  <c r="O224" i="33"/>
  <c r="O223" i="33"/>
  <c r="O222" i="33"/>
  <c r="O221" i="33"/>
  <c r="O220" i="33"/>
  <c r="O219" i="33"/>
  <c r="O218" i="33"/>
  <c r="O217" i="33"/>
  <c r="O216" i="33"/>
  <c r="O215" i="33"/>
  <c r="O214" i="33"/>
  <c r="O213" i="33"/>
  <c r="O212" i="33"/>
  <c r="O211" i="33"/>
  <c r="O210" i="33"/>
  <c r="O209" i="33"/>
  <c r="O208" i="33"/>
  <c r="O207" i="33"/>
  <c r="O206" i="33"/>
  <c r="O205" i="33"/>
  <c r="O204" i="33"/>
  <c r="O203" i="33"/>
  <c r="O202" i="33"/>
  <c r="O201" i="33"/>
  <c r="O200" i="33"/>
  <c r="O199" i="33"/>
  <c r="O198" i="33"/>
  <c r="O197" i="33"/>
  <c r="O196" i="33"/>
  <c r="O195" i="33"/>
  <c r="O194" i="33"/>
  <c r="O193" i="33"/>
  <c r="O192" i="33"/>
  <c r="O191" i="33"/>
  <c r="O190" i="33"/>
  <c r="O189" i="33"/>
  <c r="O188" i="33"/>
  <c r="O187" i="33"/>
  <c r="O186" i="33"/>
  <c r="O185" i="33"/>
  <c r="O184" i="33"/>
  <c r="O183" i="33"/>
  <c r="O182" i="33"/>
  <c r="O181" i="33"/>
  <c r="O180" i="33"/>
  <c r="O179" i="33"/>
  <c r="O178" i="33"/>
  <c r="O177" i="33"/>
  <c r="O176" i="33"/>
  <c r="O175" i="33"/>
  <c r="O174" i="33"/>
  <c r="O173" i="33"/>
  <c r="O172" i="33"/>
  <c r="O171" i="33"/>
  <c r="O170" i="33"/>
  <c r="O169" i="33"/>
  <c r="O168" i="33"/>
  <c r="O167" i="33"/>
  <c r="O166" i="33"/>
  <c r="O165" i="33"/>
  <c r="O164" i="33"/>
  <c r="O163" i="33"/>
  <c r="O162" i="33"/>
  <c r="O161" i="33"/>
  <c r="O160" i="33"/>
  <c r="O159" i="33"/>
  <c r="O158" i="33"/>
  <c r="O157" i="33"/>
  <c r="O156" i="33"/>
  <c r="O155" i="33"/>
  <c r="O154" i="33"/>
  <c r="O153" i="33"/>
  <c r="O152" i="33"/>
  <c r="O151" i="33"/>
  <c r="O150" i="33"/>
  <c r="O149" i="33"/>
  <c r="O148" i="33"/>
  <c r="O147" i="33"/>
  <c r="O146" i="33"/>
  <c r="O145" i="33"/>
  <c r="O144" i="33"/>
  <c r="O143" i="33"/>
  <c r="O142" i="33"/>
  <c r="O141" i="33"/>
  <c r="O140" i="33"/>
  <c r="O139" i="33"/>
  <c r="O138" i="33"/>
  <c r="O137" i="33"/>
  <c r="O136" i="33"/>
  <c r="O135" i="33"/>
  <c r="O134" i="33"/>
  <c r="O133" i="33"/>
  <c r="O132" i="33"/>
  <c r="O131" i="33"/>
  <c r="O130" i="33"/>
  <c r="O129" i="33"/>
  <c r="O128" i="33"/>
  <c r="O127" i="33"/>
  <c r="O126" i="33"/>
  <c r="O125" i="33"/>
  <c r="O124" i="33"/>
  <c r="O123" i="33"/>
  <c r="O122" i="33"/>
  <c r="O121" i="33"/>
  <c r="O120" i="33"/>
  <c r="O119" i="33"/>
  <c r="O118" i="33"/>
  <c r="O117" i="33"/>
  <c r="O116" i="33"/>
  <c r="O115" i="33"/>
  <c r="O114" i="33"/>
  <c r="O113" i="33"/>
  <c r="O112" i="33"/>
  <c r="O111" i="33"/>
  <c r="O110" i="33"/>
  <c r="O109" i="33"/>
  <c r="O108" i="33"/>
  <c r="O107" i="33"/>
  <c r="O106" i="33"/>
  <c r="O105" i="33"/>
  <c r="O104" i="33"/>
  <c r="O103" i="33"/>
  <c r="O102" i="33"/>
  <c r="O101" i="33"/>
  <c r="O100" i="33"/>
  <c r="O99" i="33"/>
  <c r="O98" i="33"/>
  <c r="O97" i="33"/>
  <c r="O96" i="33"/>
  <c r="O95" i="33"/>
  <c r="O94" i="33"/>
  <c r="O93" i="33"/>
  <c r="O92" i="33"/>
  <c r="O91" i="33"/>
  <c r="O90" i="33"/>
  <c r="O89" i="33"/>
  <c r="O88" i="33"/>
  <c r="O87" i="33"/>
  <c r="O86" i="33"/>
  <c r="O85" i="33"/>
  <c r="O84" i="33"/>
  <c r="O83" i="33"/>
  <c r="O82" i="33"/>
  <c r="O81" i="33"/>
  <c r="O80" i="33"/>
  <c r="O79" i="33"/>
  <c r="O78" i="33"/>
  <c r="O77" i="33"/>
  <c r="O76" i="33"/>
  <c r="O75" i="33"/>
  <c r="O74" i="33"/>
  <c r="O73" i="33"/>
  <c r="O72" i="33"/>
  <c r="O71" i="33"/>
  <c r="O70" i="33"/>
  <c r="O69" i="33"/>
  <c r="O68" i="33"/>
  <c r="O67" i="33"/>
  <c r="O66" i="33"/>
  <c r="O65" i="33"/>
  <c r="O64" i="33"/>
  <c r="O63" i="33"/>
  <c r="O62" i="33"/>
  <c r="O61" i="33"/>
  <c r="O60" i="33"/>
  <c r="O59" i="33"/>
  <c r="O58" i="33"/>
  <c r="O57" i="33"/>
  <c r="O56" i="33"/>
  <c r="O55" i="33"/>
  <c r="O54" i="33"/>
  <c r="O53" i="33"/>
  <c r="O52" i="33"/>
  <c r="O51" i="33"/>
  <c r="O50" i="33"/>
  <c r="O49" i="33"/>
  <c r="O48" i="33"/>
  <c r="O47" i="33"/>
  <c r="O46" i="33"/>
  <c r="O45" i="33"/>
  <c r="O44" i="33"/>
  <c r="O43" i="33"/>
  <c r="O42" i="33"/>
  <c r="O41" i="33"/>
  <c r="O40" i="33"/>
  <c r="O39" i="33"/>
  <c r="O38" i="33"/>
  <c r="O37" i="33"/>
  <c r="O36" i="33"/>
  <c r="O35" i="33"/>
  <c r="O34" i="33"/>
  <c r="O33" i="33"/>
  <c r="O32" i="33"/>
  <c r="O31" i="33"/>
  <c r="O30" i="33"/>
  <c r="O29" i="33"/>
  <c r="O28" i="33"/>
  <c r="O27" i="33"/>
  <c r="O26" i="33"/>
  <c r="O25" i="33"/>
  <c r="O24" i="33"/>
  <c r="O23" i="33"/>
  <c r="O22" i="33"/>
  <c r="O21" i="33"/>
  <c r="O20" i="33"/>
  <c r="O19" i="33"/>
  <c r="O18" i="33"/>
  <c r="O17" i="33"/>
  <c r="O16" i="33"/>
  <c r="O15" i="33"/>
  <c r="O14" i="33"/>
  <c r="O13" i="33"/>
  <c r="O12" i="33"/>
  <c r="O11" i="33"/>
  <c r="O10" i="33"/>
  <c r="O9" i="33"/>
  <c r="O8" i="33"/>
  <c r="O7" i="33"/>
  <c r="O6" i="33"/>
  <c r="O5" i="33"/>
  <c r="O4" i="33"/>
  <c r="O3" i="33"/>
  <c r="R363" i="33"/>
  <c r="P363" i="33"/>
  <c r="K363" i="33"/>
  <c r="K362" i="33"/>
  <c r="K361" i="33"/>
  <c r="K360" i="33"/>
  <c r="K359" i="33"/>
  <c r="K358" i="33"/>
  <c r="K357" i="33"/>
  <c r="K356" i="33"/>
  <c r="K355" i="33"/>
  <c r="K354" i="33"/>
  <c r="K353" i="33"/>
  <c r="K352" i="33"/>
  <c r="K351" i="33"/>
  <c r="K350" i="33"/>
  <c r="K349" i="33"/>
  <c r="K348" i="33"/>
  <c r="K347" i="33"/>
  <c r="K346" i="33"/>
  <c r="K345" i="33"/>
  <c r="K344" i="33"/>
  <c r="K343" i="33"/>
  <c r="K342" i="33"/>
  <c r="K341" i="33"/>
  <c r="K340" i="33"/>
  <c r="K339" i="33"/>
  <c r="K338" i="33"/>
  <c r="K337" i="33"/>
  <c r="K336" i="33"/>
  <c r="K335" i="33"/>
  <c r="K334" i="33"/>
  <c r="K333" i="33"/>
  <c r="K332" i="33"/>
  <c r="K331" i="33"/>
  <c r="K330" i="33"/>
  <c r="K329" i="33"/>
  <c r="K328" i="33"/>
  <c r="K327" i="33"/>
  <c r="K326" i="33"/>
  <c r="K325" i="33"/>
  <c r="K324" i="33"/>
  <c r="K323" i="33"/>
  <c r="K322" i="33"/>
  <c r="K321" i="33"/>
  <c r="K320" i="33"/>
  <c r="K319" i="33"/>
  <c r="K318" i="33"/>
  <c r="K317" i="33"/>
  <c r="K316" i="33"/>
  <c r="K315" i="33"/>
  <c r="K314" i="33"/>
  <c r="K313" i="33"/>
  <c r="K312" i="33"/>
  <c r="K311" i="33"/>
  <c r="K310" i="33"/>
  <c r="K309" i="33"/>
  <c r="K308" i="33"/>
  <c r="K307" i="33"/>
  <c r="K306" i="33"/>
  <c r="K305" i="33"/>
  <c r="K304" i="33"/>
  <c r="K303" i="33"/>
  <c r="K302" i="33"/>
  <c r="K301" i="33"/>
  <c r="K300" i="33"/>
  <c r="K299" i="33"/>
  <c r="K298" i="33"/>
  <c r="K297" i="33"/>
  <c r="K296" i="33"/>
  <c r="K295" i="33"/>
  <c r="K294" i="33"/>
  <c r="K293" i="33"/>
  <c r="K292" i="33"/>
  <c r="K291" i="33"/>
  <c r="K290" i="33"/>
  <c r="K289" i="33"/>
  <c r="K288" i="33"/>
  <c r="K287" i="33"/>
  <c r="K286" i="33"/>
  <c r="K285" i="33"/>
  <c r="K284" i="33"/>
  <c r="K283" i="33"/>
  <c r="K282" i="33"/>
  <c r="K281" i="33"/>
  <c r="K280" i="33"/>
  <c r="K279" i="33"/>
  <c r="K278" i="33"/>
  <c r="K277" i="33"/>
  <c r="K276" i="33"/>
  <c r="K275" i="33"/>
  <c r="K274" i="33"/>
  <c r="K273" i="33"/>
  <c r="K272" i="33"/>
  <c r="K271" i="33"/>
  <c r="K270" i="33"/>
  <c r="K269" i="33"/>
  <c r="K268" i="33"/>
  <c r="K267" i="33"/>
  <c r="K266" i="33"/>
  <c r="K265" i="33"/>
  <c r="K264" i="33"/>
  <c r="K263" i="33"/>
  <c r="K262" i="33"/>
  <c r="K261" i="33"/>
  <c r="K260" i="33"/>
  <c r="K259" i="33"/>
  <c r="K258" i="33"/>
  <c r="K257" i="33"/>
  <c r="K256" i="33"/>
  <c r="K255" i="33"/>
  <c r="K254" i="33"/>
  <c r="K253" i="33"/>
  <c r="K252" i="33"/>
  <c r="K251" i="33"/>
  <c r="K250" i="33"/>
  <c r="K249" i="33"/>
  <c r="K248" i="33"/>
  <c r="K247" i="33"/>
  <c r="K246" i="33"/>
  <c r="K245" i="33"/>
  <c r="K244" i="33"/>
  <c r="K243" i="33"/>
  <c r="K242" i="33"/>
  <c r="K241" i="33"/>
  <c r="K240" i="33"/>
  <c r="K239" i="33"/>
  <c r="K238" i="33"/>
  <c r="K237" i="33"/>
  <c r="K236" i="33"/>
  <c r="K235" i="33"/>
  <c r="K234" i="33"/>
  <c r="K233" i="33"/>
  <c r="K232" i="33"/>
  <c r="K231" i="33"/>
  <c r="K230" i="33"/>
  <c r="K229" i="33"/>
  <c r="K228" i="33"/>
  <c r="K227" i="33"/>
  <c r="K226" i="33"/>
  <c r="K225" i="33"/>
  <c r="K224" i="33"/>
  <c r="K223" i="33"/>
  <c r="K222" i="33"/>
  <c r="K221" i="33"/>
  <c r="K220" i="33"/>
  <c r="K219" i="33"/>
  <c r="K218" i="33"/>
  <c r="K217" i="33"/>
  <c r="K216" i="33"/>
  <c r="K215" i="33"/>
  <c r="K214" i="33"/>
  <c r="K213" i="33"/>
  <c r="K212" i="33"/>
  <c r="K211" i="33"/>
  <c r="K210" i="33"/>
  <c r="K209" i="33"/>
  <c r="K208" i="33"/>
  <c r="K207" i="33"/>
  <c r="K206" i="33"/>
  <c r="K205" i="33"/>
  <c r="K204" i="33"/>
  <c r="K203" i="33"/>
  <c r="K202" i="33"/>
  <c r="K201" i="33"/>
  <c r="K200" i="33"/>
  <c r="K199" i="33"/>
  <c r="K198" i="33"/>
  <c r="K197" i="33"/>
  <c r="K196" i="33"/>
  <c r="K195" i="33"/>
  <c r="K194" i="33"/>
  <c r="K193" i="33"/>
  <c r="K192" i="33"/>
  <c r="K191" i="33"/>
  <c r="K190" i="33"/>
  <c r="K189" i="33"/>
  <c r="K188" i="33"/>
  <c r="K187" i="33"/>
  <c r="K186" i="33"/>
  <c r="K185" i="33"/>
  <c r="K184" i="33"/>
  <c r="K183" i="33"/>
  <c r="K182" i="33"/>
  <c r="K181" i="33"/>
  <c r="K180" i="33"/>
  <c r="K179" i="33"/>
  <c r="K178" i="33"/>
  <c r="K177" i="33"/>
  <c r="K176" i="33"/>
  <c r="K175" i="33"/>
  <c r="K174" i="33"/>
  <c r="K173" i="33"/>
  <c r="K172" i="33"/>
  <c r="K171" i="33"/>
  <c r="K170" i="33"/>
  <c r="K169" i="33"/>
  <c r="K168" i="33"/>
  <c r="K167" i="33"/>
  <c r="K166" i="33"/>
  <c r="K165" i="33"/>
  <c r="K164" i="33"/>
  <c r="K163" i="33"/>
  <c r="K162" i="33"/>
  <c r="K161" i="33"/>
  <c r="K160" i="33"/>
  <c r="K159" i="33"/>
  <c r="K158" i="33"/>
  <c r="K157" i="33"/>
  <c r="K156" i="33"/>
  <c r="K155" i="33"/>
  <c r="K154" i="33"/>
  <c r="K153" i="33"/>
  <c r="K152" i="33"/>
  <c r="K151" i="33"/>
  <c r="K150" i="33"/>
  <c r="K149" i="33"/>
  <c r="K148" i="33"/>
  <c r="K147" i="33"/>
  <c r="K146" i="33"/>
  <c r="K145" i="33"/>
  <c r="K144" i="33"/>
  <c r="K143" i="33"/>
  <c r="K142" i="33"/>
  <c r="K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K126" i="33"/>
  <c r="K125" i="33"/>
  <c r="K124" i="33"/>
  <c r="K123" i="33"/>
  <c r="K122" i="33"/>
  <c r="K121" i="33"/>
  <c r="K120" i="33"/>
  <c r="K119" i="33"/>
  <c r="K118" i="33"/>
  <c r="K117" i="33"/>
  <c r="K116" i="33"/>
  <c r="K115" i="33"/>
  <c r="K114" i="33"/>
  <c r="K113" i="33"/>
  <c r="K112" i="33"/>
  <c r="K111" i="33"/>
  <c r="K110" i="33"/>
  <c r="K109" i="33"/>
  <c r="K108" i="33"/>
  <c r="K107" i="33"/>
  <c r="K106" i="33"/>
  <c r="K105" i="33"/>
  <c r="K104" i="33"/>
  <c r="K103" i="33"/>
  <c r="K102" i="33"/>
  <c r="K101" i="33"/>
  <c r="K100" i="33"/>
  <c r="K99" i="33"/>
  <c r="K98" i="33"/>
  <c r="K97" i="33"/>
  <c r="K96" i="33"/>
  <c r="K95" i="33"/>
  <c r="K94" i="33"/>
  <c r="K93" i="33"/>
  <c r="K92" i="33"/>
  <c r="K91" i="33"/>
  <c r="K90" i="33"/>
  <c r="K89" i="33"/>
  <c r="K88" i="33"/>
  <c r="K87" i="33"/>
  <c r="K86" i="33"/>
  <c r="K85" i="33"/>
  <c r="K84" i="33"/>
  <c r="K83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3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28" i="33"/>
  <c r="K27" i="33"/>
  <c r="K26" i="33"/>
  <c r="K25" i="33"/>
  <c r="K24" i="33"/>
  <c r="K23" i="33"/>
  <c r="K22" i="33"/>
  <c r="K21" i="33"/>
  <c r="K20" i="33"/>
  <c r="K19" i="33"/>
  <c r="K18" i="33"/>
  <c r="K17" i="33"/>
  <c r="K16" i="33"/>
  <c r="K15" i="33"/>
  <c r="K14" i="33"/>
  <c r="K13" i="33"/>
  <c r="K12" i="33"/>
  <c r="K11" i="33"/>
  <c r="K10" i="33"/>
  <c r="K9" i="33"/>
  <c r="K8" i="33"/>
  <c r="K7" i="33"/>
  <c r="K6" i="33"/>
  <c r="K5" i="33"/>
  <c r="K4" i="33"/>
  <c r="K3" i="33"/>
  <c r="H362" i="33"/>
  <c r="H361" i="33"/>
  <c r="H360" i="33"/>
  <c r="H359" i="33"/>
  <c r="H358" i="33"/>
  <c r="H357" i="33"/>
  <c r="H356" i="33"/>
  <c r="H355" i="33"/>
  <c r="H354" i="33"/>
  <c r="H353" i="33"/>
  <c r="H352" i="33"/>
  <c r="H351" i="33"/>
  <c r="H350" i="33"/>
  <c r="H349" i="33"/>
  <c r="H348" i="33"/>
  <c r="H347" i="33"/>
  <c r="H346" i="33"/>
  <c r="H345" i="33"/>
  <c r="H344" i="33"/>
  <c r="H343" i="33"/>
  <c r="H342" i="33"/>
  <c r="H341" i="33"/>
  <c r="H340" i="33"/>
  <c r="H339" i="33"/>
  <c r="H338" i="33"/>
  <c r="H337" i="33"/>
  <c r="H336" i="33"/>
  <c r="H335" i="33"/>
  <c r="H334" i="33"/>
  <c r="H333" i="33"/>
  <c r="H332" i="33"/>
  <c r="H331" i="33"/>
  <c r="H330" i="33"/>
  <c r="H329" i="33"/>
  <c r="H328" i="33"/>
  <c r="H327" i="33"/>
  <c r="H326" i="33"/>
  <c r="H325" i="33"/>
  <c r="H324" i="33"/>
  <c r="H323" i="33"/>
  <c r="H322" i="33"/>
  <c r="H321" i="33"/>
  <c r="H320" i="33"/>
  <c r="H319" i="33"/>
  <c r="H318" i="33"/>
  <c r="H317" i="33"/>
  <c r="H316" i="33"/>
  <c r="H315" i="33"/>
  <c r="H314" i="33"/>
  <c r="H313" i="33"/>
  <c r="H312" i="33"/>
  <c r="H311" i="33"/>
  <c r="H310" i="33"/>
  <c r="H309" i="33"/>
  <c r="H308" i="33"/>
  <c r="H307" i="33"/>
  <c r="H306" i="33"/>
  <c r="H305" i="33"/>
  <c r="H304" i="33"/>
  <c r="H303" i="33"/>
  <c r="H302" i="33"/>
  <c r="H301" i="33"/>
  <c r="H300" i="33"/>
  <c r="H299" i="33"/>
  <c r="H298" i="33"/>
  <c r="H297" i="33"/>
  <c r="H296" i="33"/>
  <c r="H295" i="33"/>
  <c r="H294" i="33"/>
  <c r="H293" i="33"/>
  <c r="H292" i="33"/>
  <c r="H291" i="33"/>
  <c r="H290" i="33"/>
  <c r="H289" i="33"/>
  <c r="H288" i="33"/>
  <c r="H287" i="33"/>
  <c r="H286" i="33"/>
  <c r="H285" i="33"/>
  <c r="H284" i="33"/>
  <c r="H283" i="33"/>
  <c r="H282" i="33"/>
  <c r="H281" i="33"/>
  <c r="H280" i="33"/>
  <c r="H279" i="33"/>
  <c r="H278" i="33"/>
  <c r="H277" i="33"/>
  <c r="H276" i="33"/>
  <c r="H275" i="33"/>
  <c r="H274" i="33"/>
  <c r="H273" i="33"/>
  <c r="H272" i="33"/>
  <c r="H271" i="33"/>
  <c r="H270" i="33"/>
  <c r="H269" i="33"/>
  <c r="H268" i="33"/>
  <c r="H267" i="33"/>
  <c r="H266" i="33"/>
  <c r="H265" i="33"/>
  <c r="H264" i="33"/>
  <c r="H263" i="33"/>
  <c r="H262" i="33"/>
  <c r="H261" i="33"/>
  <c r="H260" i="33"/>
  <c r="H259" i="33"/>
  <c r="H258" i="33"/>
  <c r="H257" i="33"/>
  <c r="H256" i="33"/>
  <c r="H255" i="33"/>
  <c r="H254" i="33"/>
  <c r="H253" i="33"/>
  <c r="H252" i="33"/>
  <c r="H251" i="33"/>
  <c r="H250" i="33"/>
  <c r="H249" i="33"/>
  <c r="H248" i="33"/>
  <c r="H247" i="33"/>
  <c r="H246" i="33"/>
  <c r="H245" i="33"/>
  <c r="H244" i="33"/>
  <c r="H243" i="33"/>
  <c r="H242" i="33"/>
  <c r="H241" i="33"/>
  <c r="H240" i="33"/>
  <c r="H239" i="33"/>
  <c r="H238" i="33"/>
  <c r="H237" i="33"/>
  <c r="H236" i="33"/>
  <c r="H235" i="33"/>
  <c r="H234" i="33"/>
  <c r="H233" i="33"/>
  <c r="H232" i="33"/>
  <c r="H231" i="33"/>
  <c r="H230" i="33"/>
  <c r="H229" i="33"/>
  <c r="H228" i="33"/>
  <c r="H227" i="33"/>
  <c r="H226" i="33"/>
  <c r="H225" i="33"/>
  <c r="H224" i="33"/>
  <c r="H223" i="33"/>
  <c r="H222" i="33"/>
  <c r="H221" i="33"/>
  <c r="H220" i="33"/>
  <c r="H219" i="33"/>
  <c r="H218" i="33"/>
  <c r="H217" i="33"/>
  <c r="H216" i="33"/>
  <c r="H215" i="33"/>
  <c r="H214" i="33"/>
  <c r="H213" i="33"/>
  <c r="H212" i="33"/>
  <c r="H211" i="33"/>
  <c r="H210" i="33"/>
  <c r="H209" i="33"/>
  <c r="H208" i="33"/>
  <c r="H207" i="33"/>
  <c r="H206" i="33"/>
  <c r="H205" i="33"/>
  <c r="H204" i="33"/>
  <c r="H203" i="33"/>
  <c r="H202" i="33"/>
  <c r="H201" i="33"/>
  <c r="H200" i="33"/>
  <c r="H199" i="33"/>
  <c r="H198" i="33"/>
  <c r="H197" i="33"/>
  <c r="H196" i="33"/>
  <c r="H195" i="33"/>
  <c r="H194" i="33"/>
  <c r="H193" i="33"/>
  <c r="H192" i="33"/>
  <c r="H191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H174" i="33"/>
  <c r="H173" i="33"/>
  <c r="H172" i="33"/>
  <c r="H171" i="33"/>
  <c r="H170" i="33"/>
  <c r="H169" i="33"/>
  <c r="H168" i="33"/>
  <c r="H167" i="33"/>
  <c r="H166" i="33"/>
  <c r="H165" i="33"/>
  <c r="H164" i="33"/>
  <c r="H163" i="33"/>
  <c r="H162" i="33"/>
  <c r="H161" i="33"/>
  <c r="H160" i="33"/>
  <c r="H159" i="33"/>
  <c r="H158" i="33"/>
  <c r="H157" i="33"/>
  <c r="H156" i="33"/>
  <c r="H155" i="33"/>
  <c r="H154" i="33"/>
  <c r="H153" i="33"/>
  <c r="H152" i="33"/>
  <c r="H151" i="33"/>
  <c r="H150" i="33"/>
  <c r="H149" i="33"/>
  <c r="H148" i="33"/>
  <c r="H147" i="33"/>
  <c r="H146" i="33"/>
  <c r="H145" i="33"/>
  <c r="H144" i="33"/>
  <c r="H143" i="33"/>
  <c r="H142" i="33"/>
  <c r="H141" i="33"/>
  <c r="H140" i="33"/>
  <c r="H139" i="33"/>
  <c r="H138" i="33"/>
  <c r="H137" i="33"/>
  <c r="H136" i="33"/>
  <c r="H135" i="33"/>
  <c r="H134" i="33"/>
  <c r="H133" i="33"/>
  <c r="H132" i="33"/>
  <c r="H131" i="33"/>
  <c r="H130" i="33"/>
  <c r="H129" i="33"/>
  <c r="H128" i="33"/>
  <c r="H127" i="33"/>
  <c r="H126" i="33"/>
  <c r="H125" i="33"/>
  <c r="H124" i="33"/>
  <c r="H123" i="33"/>
  <c r="H122" i="33"/>
  <c r="H121" i="33"/>
  <c r="H120" i="33"/>
  <c r="H119" i="33"/>
  <c r="H118" i="33"/>
  <c r="H117" i="33"/>
  <c r="H116" i="33"/>
  <c r="H115" i="33"/>
  <c r="H114" i="33"/>
  <c r="H113" i="33"/>
  <c r="H112" i="33"/>
  <c r="H111" i="33"/>
  <c r="H110" i="33"/>
  <c r="H109" i="33"/>
  <c r="H108" i="33"/>
  <c r="H107" i="33"/>
  <c r="H106" i="33"/>
  <c r="H105" i="33"/>
  <c r="H104" i="33"/>
  <c r="H103" i="33"/>
  <c r="H102" i="33"/>
  <c r="H101" i="33"/>
  <c r="H100" i="33"/>
  <c r="H99" i="33"/>
  <c r="H98" i="33"/>
  <c r="H97" i="33"/>
  <c r="H96" i="33"/>
  <c r="H95" i="33"/>
  <c r="H94" i="33"/>
  <c r="H93" i="33"/>
  <c r="H92" i="33"/>
  <c r="H91" i="33"/>
  <c r="H90" i="33"/>
  <c r="H89" i="33"/>
  <c r="H88" i="33"/>
  <c r="H87" i="33"/>
  <c r="H86" i="33"/>
  <c r="H85" i="33"/>
  <c r="H84" i="33"/>
  <c r="H83" i="33"/>
  <c r="H82" i="33"/>
  <c r="H81" i="33"/>
  <c r="H80" i="33"/>
  <c r="H79" i="33"/>
  <c r="H78" i="33"/>
  <c r="H77" i="33"/>
  <c r="H76" i="33"/>
  <c r="H75" i="33"/>
  <c r="H74" i="33"/>
  <c r="H73" i="33"/>
  <c r="H72" i="33"/>
  <c r="H71" i="33"/>
  <c r="H70" i="33"/>
  <c r="H69" i="33"/>
  <c r="H68" i="33"/>
  <c r="H67" i="33"/>
  <c r="H66" i="33"/>
  <c r="H65" i="33"/>
  <c r="H64" i="33"/>
  <c r="H63" i="33"/>
  <c r="H62" i="33"/>
  <c r="H61" i="33"/>
  <c r="H60" i="33"/>
  <c r="H59" i="33"/>
  <c r="H58" i="33"/>
  <c r="H57" i="33"/>
  <c r="H56" i="33"/>
  <c r="H55" i="33"/>
  <c r="H54" i="33"/>
  <c r="H53" i="33"/>
  <c r="H52" i="33"/>
  <c r="H51" i="33"/>
  <c r="H50" i="33"/>
  <c r="H49" i="33"/>
  <c r="H48" i="33"/>
  <c r="H47" i="33"/>
  <c r="H46" i="33"/>
  <c r="H45" i="33"/>
  <c r="H44" i="33"/>
  <c r="H43" i="33"/>
  <c r="H42" i="33"/>
  <c r="H41" i="33"/>
  <c r="H40" i="33"/>
  <c r="H39" i="33"/>
  <c r="H38" i="33"/>
  <c r="H37" i="33"/>
  <c r="H36" i="33"/>
  <c r="H35" i="33"/>
  <c r="H34" i="33"/>
  <c r="H33" i="33"/>
  <c r="H32" i="33"/>
  <c r="H31" i="33"/>
  <c r="H30" i="33"/>
  <c r="H29" i="33"/>
  <c r="H28" i="33"/>
  <c r="H27" i="33"/>
  <c r="H26" i="33"/>
  <c r="H25" i="33"/>
  <c r="H24" i="33"/>
  <c r="H23" i="33"/>
  <c r="H22" i="33"/>
  <c r="H21" i="33"/>
  <c r="H20" i="33"/>
  <c r="H19" i="33"/>
  <c r="H18" i="33"/>
  <c r="H17" i="33"/>
  <c r="H16" i="33"/>
  <c r="H15" i="33"/>
  <c r="H14" i="33"/>
  <c r="H13" i="33"/>
  <c r="H12" i="33"/>
  <c r="H11" i="33"/>
  <c r="H10" i="33"/>
  <c r="H9" i="33"/>
  <c r="H8" i="33"/>
  <c r="H7" i="33"/>
  <c r="H6" i="33"/>
  <c r="H5" i="33"/>
  <c r="H4" i="33"/>
  <c r="H3" i="33"/>
  <c r="AF362" i="33"/>
  <c r="AF361" i="33"/>
  <c r="AF360" i="33"/>
  <c r="AF359" i="33"/>
  <c r="AF358" i="33"/>
  <c r="AF357" i="33"/>
  <c r="AF356" i="33"/>
  <c r="AF355" i="33"/>
  <c r="AF354" i="33"/>
  <c r="AF353" i="33"/>
  <c r="AF352" i="33"/>
  <c r="AF351" i="33"/>
  <c r="AF350" i="33"/>
  <c r="AF349" i="33"/>
  <c r="AF348" i="33"/>
  <c r="AF347" i="33"/>
  <c r="AF346" i="33"/>
  <c r="AF345" i="33"/>
  <c r="AF344" i="33"/>
  <c r="AF343" i="33"/>
  <c r="AF342" i="33"/>
  <c r="AF341" i="33"/>
  <c r="AF340" i="33"/>
  <c r="AF339" i="33"/>
  <c r="AF338" i="33"/>
  <c r="AF337" i="33"/>
  <c r="AF336" i="33"/>
  <c r="AF335" i="33"/>
  <c r="AF334" i="33"/>
  <c r="AF333" i="33"/>
  <c r="AF332" i="33"/>
  <c r="AF331" i="33"/>
  <c r="AF330" i="33"/>
  <c r="AF329" i="33"/>
  <c r="AF328" i="33"/>
  <c r="AF327" i="33"/>
  <c r="AF326" i="33"/>
  <c r="AF325" i="33"/>
  <c r="AF324" i="33"/>
  <c r="AF323" i="33"/>
  <c r="AF322" i="33"/>
  <c r="AF321" i="33"/>
  <c r="AF320" i="33"/>
  <c r="AF319" i="33"/>
  <c r="AF318" i="33"/>
  <c r="AF317" i="33"/>
  <c r="AF316" i="33"/>
  <c r="AF315" i="33"/>
  <c r="AF314" i="33"/>
  <c r="AF313" i="33"/>
  <c r="AF312" i="33"/>
  <c r="AF311" i="33"/>
  <c r="AF310" i="33"/>
  <c r="AF309" i="33"/>
  <c r="AF308" i="33"/>
  <c r="AF307" i="33"/>
  <c r="AF306" i="33"/>
  <c r="AF305" i="33"/>
  <c r="AF304" i="33"/>
  <c r="AF303" i="33"/>
  <c r="AF302" i="33"/>
  <c r="AF301" i="33"/>
  <c r="AF300" i="33"/>
  <c r="AF299" i="33"/>
  <c r="AF298" i="33"/>
  <c r="AF297" i="33"/>
  <c r="AF296" i="33"/>
  <c r="AF295" i="33"/>
  <c r="AF294" i="33"/>
  <c r="AF293" i="33"/>
  <c r="AF292" i="33"/>
  <c r="AF291" i="33"/>
  <c r="AF290" i="33"/>
  <c r="AF289" i="33"/>
  <c r="AF288" i="33"/>
  <c r="AF287" i="33"/>
  <c r="AF286" i="33"/>
  <c r="AF285" i="33"/>
  <c r="AF284" i="33"/>
  <c r="AF283" i="33"/>
  <c r="AF282" i="33"/>
  <c r="AF281" i="33"/>
  <c r="AF280" i="33"/>
  <c r="AF279" i="33"/>
  <c r="AF278" i="33"/>
  <c r="AF277" i="33"/>
  <c r="AF276" i="33"/>
  <c r="AF275" i="33"/>
  <c r="AF274" i="33"/>
  <c r="AF273" i="33"/>
  <c r="AF272" i="33"/>
  <c r="AF271" i="33"/>
  <c r="AF270" i="33"/>
  <c r="AF269" i="33"/>
  <c r="AF268" i="33"/>
  <c r="AF267" i="33"/>
  <c r="AF266" i="33"/>
  <c r="AF265" i="33"/>
  <c r="AF264" i="33"/>
  <c r="AF263" i="33"/>
  <c r="AF262" i="33"/>
  <c r="AF261" i="33"/>
  <c r="AF260" i="33"/>
  <c r="AF259" i="33"/>
  <c r="AF258" i="33"/>
  <c r="AF257" i="33"/>
  <c r="AF256" i="33"/>
  <c r="AF255" i="33"/>
  <c r="AF254" i="33"/>
  <c r="AF253" i="33"/>
  <c r="AF252" i="33"/>
  <c r="AF251" i="33"/>
  <c r="AF250" i="33"/>
  <c r="AF249" i="33"/>
  <c r="AF248" i="33"/>
  <c r="AF247" i="33"/>
  <c r="AF246" i="33"/>
  <c r="AF245" i="33"/>
  <c r="AF244" i="33"/>
  <c r="AF243" i="33"/>
  <c r="AF242" i="33"/>
  <c r="AF241" i="33"/>
  <c r="AF240" i="33"/>
  <c r="AF239" i="33"/>
  <c r="AF238" i="33"/>
  <c r="AF237" i="33"/>
  <c r="AF236" i="33"/>
  <c r="AF235" i="33"/>
  <c r="AF234" i="33"/>
  <c r="AF233" i="33"/>
  <c r="AF232" i="33"/>
  <c r="AF231" i="33"/>
  <c r="AF230" i="33"/>
  <c r="AF229" i="33"/>
  <c r="AF228" i="33"/>
  <c r="AF227" i="33"/>
  <c r="AF226" i="33"/>
  <c r="AF225" i="33"/>
  <c r="AF224" i="33"/>
  <c r="AF223" i="33"/>
  <c r="AF222" i="33"/>
  <c r="AF221" i="33"/>
  <c r="AF220" i="33"/>
  <c r="AF219" i="33"/>
  <c r="AF218" i="33"/>
  <c r="AF217" i="33"/>
  <c r="AF216" i="33"/>
  <c r="AF215" i="33"/>
  <c r="AF214" i="33"/>
  <c r="AF213" i="33"/>
  <c r="AF212" i="33"/>
  <c r="AF211" i="33"/>
  <c r="AF210" i="33"/>
  <c r="AF209" i="33"/>
  <c r="AF208" i="33"/>
  <c r="AF207" i="33"/>
  <c r="AF206" i="33"/>
  <c r="AF205" i="33"/>
  <c r="AF204" i="33"/>
  <c r="AF203" i="33"/>
  <c r="AF202" i="33"/>
  <c r="AF201" i="33"/>
  <c r="AF200" i="33"/>
  <c r="AF199" i="33"/>
  <c r="AF198" i="33"/>
  <c r="AF197" i="33"/>
  <c r="AF196" i="33"/>
  <c r="AF195" i="33"/>
  <c r="AF194" i="33"/>
  <c r="AF193" i="33"/>
  <c r="AF192" i="33"/>
  <c r="AF191" i="33"/>
  <c r="AF190" i="33"/>
  <c r="AF189" i="33"/>
  <c r="AF188" i="33"/>
  <c r="AF187" i="33"/>
  <c r="AF186" i="33"/>
  <c r="AF185" i="33"/>
  <c r="AF184" i="33"/>
  <c r="AF183" i="33"/>
  <c r="AF182" i="33"/>
  <c r="AF181" i="33"/>
  <c r="AF180" i="33"/>
  <c r="AF179" i="33"/>
  <c r="AF178" i="33"/>
  <c r="AF177" i="33"/>
  <c r="AF176" i="33"/>
  <c r="AF175" i="33"/>
  <c r="AF174" i="33"/>
  <c r="AF173" i="33"/>
  <c r="AF172" i="33"/>
  <c r="AF171" i="33"/>
  <c r="AF170" i="33"/>
  <c r="AF169" i="33"/>
  <c r="AF168" i="33"/>
  <c r="AF167" i="33"/>
  <c r="AF166" i="33"/>
  <c r="AF165" i="33"/>
  <c r="AF164" i="33"/>
  <c r="AF163" i="33"/>
  <c r="AF162" i="33"/>
  <c r="AF161" i="33"/>
  <c r="AF160" i="33"/>
  <c r="AF159" i="33"/>
  <c r="AF158" i="33"/>
  <c r="AF157" i="33"/>
  <c r="AF156" i="33"/>
  <c r="AF155" i="33"/>
  <c r="AF154" i="33"/>
  <c r="AF153" i="33"/>
  <c r="AF152" i="33"/>
  <c r="AF151" i="33"/>
  <c r="AF150" i="33"/>
  <c r="AF149" i="33"/>
  <c r="AF148" i="33"/>
  <c r="AF147" i="33"/>
  <c r="AF146" i="33"/>
  <c r="AF145" i="33"/>
  <c r="AF144" i="33"/>
  <c r="AF143" i="33"/>
  <c r="AF142" i="33"/>
  <c r="AF141" i="33"/>
  <c r="AF140" i="33"/>
  <c r="AF139" i="33"/>
  <c r="AF138" i="33"/>
  <c r="AF137" i="33"/>
  <c r="AF136" i="33"/>
  <c r="AF135" i="33"/>
  <c r="AF134" i="33"/>
  <c r="AF133" i="33"/>
  <c r="AF132" i="33"/>
  <c r="AF131" i="33"/>
  <c r="AF130" i="33"/>
  <c r="AF129" i="33"/>
  <c r="AF128" i="33"/>
  <c r="AF127" i="33"/>
  <c r="AF126" i="33"/>
  <c r="AF125" i="33"/>
  <c r="AF124" i="33"/>
  <c r="AF123" i="33"/>
  <c r="AF122" i="33"/>
  <c r="AF121" i="33"/>
  <c r="AF120" i="33"/>
  <c r="AF119" i="33"/>
  <c r="AF118" i="33"/>
  <c r="AF117" i="33"/>
  <c r="AF116" i="33"/>
  <c r="AF115" i="33"/>
  <c r="AF114" i="33"/>
  <c r="AF113" i="33"/>
  <c r="AF112" i="33"/>
  <c r="AF111" i="33"/>
  <c r="AF110" i="33"/>
  <c r="AF109" i="33"/>
  <c r="AF108" i="33"/>
  <c r="AF107" i="33"/>
  <c r="AF106" i="33"/>
  <c r="AF105" i="33"/>
  <c r="AF104" i="33"/>
  <c r="AF103" i="33"/>
  <c r="AF102" i="33"/>
  <c r="AF101" i="33"/>
  <c r="AF100" i="33"/>
  <c r="AF99" i="33"/>
  <c r="AF98" i="33"/>
  <c r="AF97" i="33"/>
  <c r="AF96" i="33"/>
  <c r="AF95" i="33"/>
  <c r="AF94" i="33"/>
  <c r="AF93" i="33"/>
  <c r="AF92" i="33"/>
  <c r="AF91" i="33"/>
  <c r="AF90" i="33"/>
  <c r="AF89" i="33"/>
  <c r="AF88" i="33"/>
  <c r="AF87" i="33"/>
  <c r="AF86" i="33"/>
  <c r="AF85" i="33"/>
  <c r="AF84" i="33"/>
  <c r="AF83" i="33"/>
  <c r="AF82" i="33"/>
  <c r="AF81" i="33"/>
  <c r="AF80" i="33"/>
  <c r="AF79" i="33"/>
  <c r="AF78" i="33"/>
  <c r="AF77" i="33"/>
  <c r="AF76" i="33"/>
  <c r="AF75" i="33"/>
  <c r="AF74" i="33"/>
  <c r="AF73" i="33"/>
  <c r="AF72" i="33"/>
  <c r="AF71" i="33"/>
  <c r="AF70" i="33"/>
  <c r="AF69" i="33"/>
  <c r="AF68" i="33"/>
  <c r="AF67" i="33"/>
  <c r="AF66" i="33"/>
  <c r="AF65" i="33"/>
  <c r="AF64" i="33"/>
  <c r="AF63" i="33"/>
  <c r="AF62" i="33"/>
  <c r="AF61" i="33"/>
  <c r="AF60" i="33"/>
  <c r="AF59" i="33"/>
  <c r="AF58" i="33"/>
  <c r="AF57" i="33"/>
  <c r="AF56" i="33"/>
  <c r="AF55" i="33"/>
  <c r="AF54" i="33"/>
  <c r="AF53" i="33"/>
  <c r="AF52" i="33"/>
  <c r="AF51" i="33"/>
  <c r="AF50" i="33"/>
  <c r="AF49" i="33"/>
  <c r="AF48" i="33"/>
  <c r="AF47" i="33"/>
  <c r="AF46" i="33"/>
  <c r="AF45" i="33"/>
  <c r="AF44" i="33"/>
  <c r="AF43" i="33"/>
  <c r="AF42" i="33"/>
  <c r="AF41" i="33"/>
  <c r="AF40" i="33"/>
  <c r="AF39" i="33"/>
  <c r="AF38" i="33"/>
  <c r="AF37" i="33"/>
  <c r="AF36" i="33"/>
  <c r="AF35" i="33"/>
  <c r="AF34" i="33"/>
  <c r="AF33" i="33"/>
  <c r="AF32" i="33"/>
  <c r="AF31" i="33"/>
  <c r="AF30" i="33"/>
  <c r="AF29" i="33"/>
  <c r="AF28" i="33"/>
  <c r="AF27" i="33"/>
  <c r="AF26" i="33"/>
  <c r="AF25" i="33"/>
  <c r="AF24" i="33"/>
  <c r="AF23" i="33"/>
  <c r="AF22" i="33"/>
  <c r="AF21" i="33"/>
  <c r="AF20" i="33"/>
  <c r="AF19" i="33"/>
  <c r="AF18" i="33"/>
  <c r="AF17" i="33"/>
  <c r="AF16" i="33"/>
  <c r="AF15" i="33"/>
  <c r="AF14" i="33"/>
  <c r="AF13" i="33"/>
  <c r="AF12" i="33"/>
  <c r="AF11" i="33"/>
  <c r="AF10" i="33"/>
  <c r="AF9" i="33"/>
  <c r="AF8" i="33"/>
  <c r="AF7" i="33"/>
  <c r="AF6" i="33"/>
  <c r="AF5" i="33"/>
  <c r="AF4" i="33"/>
  <c r="AF3" i="33"/>
  <c r="AI363" i="33"/>
  <c r="AI362" i="33"/>
  <c r="AI361" i="33"/>
  <c r="AI360" i="33"/>
  <c r="AI359" i="33"/>
  <c r="AI358" i="33"/>
  <c r="AI357" i="33"/>
  <c r="AI356" i="33"/>
  <c r="AI355" i="33"/>
  <c r="AI354" i="33"/>
  <c r="AI353" i="33"/>
  <c r="AI352" i="33"/>
  <c r="AI351" i="33"/>
  <c r="AI350" i="33"/>
  <c r="AI349" i="33"/>
  <c r="AI348" i="33"/>
  <c r="AI347" i="33"/>
  <c r="AI346" i="33"/>
  <c r="AI345" i="33"/>
  <c r="AI344" i="33"/>
  <c r="AI343" i="33"/>
  <c r="AI342" i="33"/>
  <c r="AI341" i="33"/>
  <c r="AI340" i="33"/>
  <c r="AI339" i="33"/>
  <c r="AI338" i="33"/>
  <c r="AI337" i="33"/>
  <c r="AI336" i="33"/>
  <c r="AI335" i="33"/>
  <c r="AI334" i="33"/>
  <c r="AI333" i="33"/>
  <c r="AI332" i="33"/>
  <c r="AI331" i="33"/>
  <c r="AI330" i="33"/>
  <c r="AI329" i="33"/>
  <c r="AI328" i="33"/>
  <c r="AI327" i="33"/>
  <c r="AI326" i="33"/>
  <c r="AI325" i="33"/>
  <c r="AI324" i="33"/>
  <c r="AI323" i="33"/>
  <c r="AI322" i="33"/>
  <c r="AI321" i="33"/>
  <c r="AI320" i="33"/>
  <c r="AI319" i="33"/>
  <c r="AI318" i="33"/>
  <c r="AI317" i="33"/>
  <c r="AI316" i="33"/>
  <c r="AI315" i="33"/>
  <c r="AI314" i="33"/>
  <c r="AI313" i="33"/>
  <c r="AI312" i="33"/>
  <c r="AI311" i="33"/>
  <c r="AI310" i="33"/>
  <c r="AI309" i="33"/>
  <c r="AI308" i="33"/>
  <c r="AI307" i="33"/>
  <c r="AI306" i="33"/>
  <c r="AI305" i="33"/>
  <c r="AI304" i="33"/>
  <c r="AI303" i="33"/>
  <c r="AI302" i="33"/>
  <c r="AI301" i="33"/>
  <c r="AI300" i="33"/>
  <c r="AI299" i="33"/>
  <c r="AI298" i="33"/>
  <c r="AI297" i="33"/>
  <c r="AI296" i="33"/>
  <c r="AI295" i="33"/>
  <c r="AI294" i="33"/>
  <c r="AI293" i="33"/>
  <c r="AI292" i="33"/>
  <c r="AI291" i="33"/>
  <c r="AI290" i="33"/>
  <c r="AI289" i="33"/>
  <c r="AI288" i="33"/>
  <c r="AI287" i="33"/>
  <c r="AI286" i="33"/>
  <c r="AI285" i="33"/>
  <c r="AI284" i="33"/>
  <c r="AI283" i="33"/>
  <c r="AI282" i="33"/>
  <c r="AI281" i="33"/>
  <c r="AI280" i="33"/>
  <c r="AI279" i="33"/>
  <c r="AI278" i="33"/>
  <c r="AI277" i="33"/>
  <c r="AI276" i="33"/>
  <c r="AI275" i="33"/>
  <c r="AI274" i="33"/>
  <c r="AI273" i="33"/>
  <c r="AI272" i="33"/>
  <c r="AI271" i="33"/>
  <c r="AI270" i="33"/>
  <c r="AI269" i="33"/>
  <c r="AI268" i="33"/>
  <c r="AI267" i="33"/>
  <c r="AI266" i="33"/>
  <c r="AI265" i="33"/>
  <c r="AI264" i="33"/>
  <c r="AI263" i="33"/>
  <c r="AI262" i="33"/>
  <c r="AI261" i="33"/>
  <c r="AI260" i="33"/>
  <c r="AI259" i="33"/>
  <c r="AI258" i="33"/>
  <c r="AI257" i="33"/>
  <c r="AI256" i="33"/>
  <c r="AI255" i="33"/>
  <c r="AI254" i="33"/>
  <c r="AI253" i="33"/>
  <c r="AI252" i="33"/>
  <c r="AI251" i="33"/>
  <c r="AI250" i="33"/>
  <c r="AI249" i="33"/>
  <c r="AI248" i="33"/>
  <c r="AI247" i="33"/>
  <c r="AI246" i="33"/>
  <c r="AI245" i="33"/>
  <c r="AI244" i="33"/>
  <c r="AI243" i="33"/>
  <c r="AI242" i="33"/>
  <c r="AI241" i="33"/>
  <c r="AI240" i="33"/>
  <c r="AI239" i="33"/>
  <c r="AI238" i="33"/>
  <c r="AI237" i="33"/>
  <c r="AI236" i="33"/>
  <c r="AI235" i="33"/>
  <c r="AI234" i="33"/>
  <c r="AI233" i="33"/>
  <c r="AI232" i="33"/>
  <c r="AI231" i="33"/>
  <c r="AI230" i="33"/>
  <c r="AI229" i="33"/>
  <c r="AI228" i="33"/>
  <c r="AI227" i="33"/>
  <c r="AI226" i="33"/>
  <c r="AI225" i="33"/>
  <c r="AI224" i="33"/>
  <c r="AI223" i="33"/>
  <c r="AI222" i="33"/>
  <c r="AI221" i="33"/>
  <c r="AI220" i="33"/>
  <c r="AI219" i="33"/>
  <c r="AI218" i="33"/>
  <c r="AI217" i="33"/>
  <c r="AI216" i="33"/>
  <c r="AI215" i="33"/>
  <c r="AI214" i="33"/>
  <c r="AI213" i="33"/>
  <c r="AI212" i="33"/>
  <c r="AI211" i="33"/>
  <c r="AI210" i="33"/>
  <c r="AI209" i="33"/>
  <c r="AI208" i="33"/>
  <c r="AI207" i="33"/>
  <c r="AI206" i="33"/>
  <c r="AI205" i="33"/>
  <c r="AI204" i="33"/>
  <c r="AI203" i="33"/>
  <c r="AI202" i="33"/>
  <c r="AI201" i="33"/>
  <c r="AI200" i="33"/>
  <c r="AI199" i="33"/>
  <c r="AI198" i="33"/>
  <c r="AI197" i="33"/>
  <c r="AI196" i="33"/>
  <c r="AI195" i="33"/>
  <c r="AI194" i="33"/>
  <c r="AI193" i="33"/>
  <c r="AI192" i="33"/>
  <c r="AI191" i="33"/>
  <c r="AI190" i="33"/>
  <c r="AI189" i="33"/>
  <c r="AI188" i="33"/>
  <c r="AI187" i="33"/>
  <c r="AI186" i="33"/>
  <c r="AI185" i="33"/>
  <c r="AI184" i="33"/>
  <c r="AI183" i="33"/>
  <c r="AI182" i="33"/>
  <c r="AI181" i="33"/>
  <c r="AI180" i="33"/>
  <c r="AI179" i="33"/>
  <c r="AI178" i="33"/>
  <c r="AI177" i="33"/>
  <c r="AI176" i="33"/>
  <c r="AI175" i="33"/>
  <c r="AI174" i="33"/>
  <c r="AI173" i="33"/>
  <c r="AI172" i="33"/>
  <c r="AI171" i="33"/>
  <c r="AI170" i="33"/>
  <c r="AI169" i="33"/>
  <c r="AI168" i="33"/>
  <c r="AI167" i="33"/>
  <c r="AI166" i="33"/>
  <c r="AI165" i="33"/>
  <c r="AI164" i="33"/>
  <c r="AI163" i="33"/>
  <c r="AI162" i="33"/>
  <c r="AI161" i="33"/>
  <c r="AI160" i="33"/>
  <c r="AI159" i="33"/>
  <c r="AI158" i="33"/>
  <c r="AI157" i="33"/>
  <c r="AI156" i="33"/>
  <c r="AI155" i="33"/>
  <c r="AI154" i="33"/>
  <c r="AI153" i="33"/>
  <c r="AI152" i="33"/>
  <c r="AI151" i="33"/>
  <c r="AI150" i="33"/>
  <c r="AI149" i="33"/>
  <c r="AI148" i="33"/>
  <c r="AI147" i="33"/>
  <c r="AI146" i="33"/>
  <c r="AI145" i="33"/>
  <c r="AI144" i="33"/>
  <c r="AI143" i="33"/>
  <c r="AI142" i="33"/>
  <c r="AI141" i="33"/>
  <c r="AI140" i="33"/>
  <c r="AI139" i="33"/>
  <c r="AI138" i="33"/>
  <c r="AI137" i="33"/>
  <c r="AI136" i="33"/>
  <c r="AI135" i="33"/>
  <c r="AI134" i="33"/>
  <c r="AI133" i="33"/>
  <c r="AI132" i="33"/>
  <c r="AI131" i="33"/>
  <c r="AI130" i="33"/>
  <c r="AI129" i="33"/>
  <c r="AI128" i="33"/>
  <c r="AI127" i="33"/>
  <c r="AI126" i="33"/>
  <c r="AI125" i="33"/>
  <c r="AI124" i="33"/>
  <c r="AI123" i="33"/>
  <c r="AI122" i="33"/>
  <c r="AI121" i="33"/>
  <c r="AI120" i="33"/>
  <c r="AI119" i="33"/>
  <c r="AI118" i="33"/>
  <c r="AI117" i="33"/>
  <c r="AI116" i="33"/>
  <c r="AI115" i="33"/>
  <c r="AI114" i="33"/>
  <c r="AI113" i="33"/>
  <c r="AI112" i="33"/>
  <c r="AI111" i="33"/>
  <c r="AI110" i="33"/>
  <c r="AI109" i="33"/>
  <c r="AI108" i="33"/>
  <c r="AI107" i="33"/>
  <c r="AI106" i="33"/>
  <c r="AI105" i="33"/>
  <c r="AI104" i="33"/>
  <c r="AI103" i="33"/>
  <c r="AI102" i="33"/>
  <c r="AI101" i="33"/>
  <c r="AI100" i="33"/>
  <c r="AI99" i="33"/>
  <c r="AI98" i="33"/>
  <c r="AI97" i="33"/>
  <c r="AI96" i="33"/>
  <c r="AI95" i="33"/>
  <c r="AI94" i="33"/>
  <c r="AI93" i="33"/>
  <c r="AI92" i="33"/>
  <c r="AI91" i="33"/>
  <c r="AI90" i="33"/>
  <c r="AI89" i="33"/>
  <c r="AI88" i="33"/>
  <c r="AI87" i="33"/>
  <c r="AI86" i="33"/>
  <c r="AI85" i="33"/>
  <c r="AI84" i="33"/>
  <c r="AI83" i="33"/>
  <c r="AI82" i="33"/>
  <c r="AI81" i="33"/>
  <c r="AI80" i="33"/>
  <c r="AI79" i="33"/>
  <c r="AI78" i="33"/>
  <c r="AI77" i="33"/>
  <c r="AI76" i="33"/>
  <c r="AI75" i="33"/>
  <c r="AI74" i="33"/>
  <c r="AI73" i="33"/>
  <c r="AI72" i="33"/>
  <c r="AI71" i="33"/>
  <c r="AI70" i="33"/>
  <c r="AI69" i="33"/>
  <c r="AI68" i="33"/>
  <c r="AI67" i="33"/>
  <c r="AI66" i="33"/>
  <c r="AI65" i="33"/>
  <c r="AI64" i="33"/>
  <c r="AI63" i="33"/>
  <c r="AI62" i="33"/>
  <c r="AI61" i="33"/>
  <c r="AI60" i="33"/>
  <c r="AI59" i="33"/>
  <c r="AI58" i="33"/>
  <c r="AI57" i="33"/>
  <c r="AI56" i="33"/>
  <c r="AI55" i="33"/>
  <c r="AI54" i="33"/>
  <c r="AI53" i="33"/>
  <c r="AI52" i="33"/>
  <c r="AI51" i="33"/>
  <c r="AI50" i="33"/>
  <c r="AI49" i="33"/>
  <c r="AI48" i="33"/>
  <c r="AI47" i="33"/>
  <c r="AI46" i="33"/>
  <c r="AI45" i="33"/>
  <c r="AI44" i="33"/>
  <c r="AI43" i="33"/>
  <c r="AI42" i="33"/>
  <c r="AI41" i="33"/>
  <c r="AI40" i="33"/>
  <c r="AI39" i="33"/>
  <c r="AI38" i="33"/>
  <c r="AI37" i="33"/>
  <c r="AI36" i="33"/>
  <c r="AI35" i="33"/>
  <c r="AI34" i="33"/>
  <c r="AI33" i="33"/>
  <c r="AI32" i="33"/>
  <c r="AI31" i="33"/>
  <c r="AI30" i="33"/>
  <c r="AI29" i="33"/>
  <c r="AI28" i="33"/>
  <c r="AI27" i="33"/>
  <c r="AI26" i="33"/>
  <c r="AI25" i="33"/>
  <c r="AI24" i="33"/>
  <c r="AI23" i="33"/>
  <c r="AI22" i="33"/>
  <c r="AI21" i="33"/>
  <c r="AI20" i="33"/>
  <c r="AI19" i="33"/>
  <c r="AI18" i="33"/>
  <c r="AI17" i="33"/>
  <c r="AI16" i="33"/>
  <c r="AI15" i="33"/>
  <c r="AI14" i="33"/>
  <c r="AI13" i="33"/>
  <c r="AI12" i="33"/>
  <c r="AI11" i="33"/>
  <c r="AI10" i="33"/>
  <c r="AI9" i="33"/>
  <c r="AI8" i="33"/>
  <c r="AI7" i="33"/>
  <c r="AI6" i="33"/>
  <c r="AI5" i="33"/>
  <c r="AI4" i="33"/>
  <c r="AI3" i="33"/>
  <c r="R35" i="26"/>
  <c r="Q34" i="26"/>
  <c r="R31" i="26"/>
  <c r="Q32" i="26"/>
  <c r="G362" i="33"/>
  <c r="G361" i="33"/>
  <c r="G360" i="33"/>
  <c r="G359" i="33"/>
  <c r="G358" i="33"/>
  <c r="G357" i="33"/>
  <c r="G356" i="33"/>
  <c r="G355" i="33"/>
  <c r="G354" i="33"/>
  <c r="G353" i="33"/>
  <c r="G352" i="33"/>
  <c r="G351" i="33"/>
  <c r="G350" i="33"/>
  <c r="G349" i="33"/>
  <c r="G348" i="33"/>
  <c r="G347" i="33"/>
  <c r="G346" i="33"/>
  <c r="G345" i="33"/>
  <c r="G344" i="33"/>
  <c r="G343" i="33"/>
  <c r="G342" i="33"/>
  <c r="G341" i="33"/>
  <c r="G340" i="33"/>
  <c r="G339" i="33"/>
  <c r="G338" i="33"/>
  <c r="G337" i="33"/>
  <c r="G336" i="33"/>
  <c r="G335" i="33"/>
  <c r="G334" i="33"/>
  <c r="G333" i="33"/>
  <c r="G332" i="33"/>
  <c r="G331" i="33"/>
  <c r="G330" i="33"/>
  <c r="G329" i="33"/>
  <c r="G328" i="33"/>
  <c r="G327" i="33"/>
  <c r="G326" i="33"/>
  <c r="G325" i="33"/>
  <c r="G324" i="33"/>
  <c r="G323" i="33"/>
  <c r="G322" i="33"/>
  <c r="G321" i="33"/>
  <c r="G320" i="33"/>
  <c r="G319" i="33"/>
  <c r="G318" i="33"/>
  <c r="G317" i="33"/>
  <c r="G316" i="33"/>
  <c r="G315" i="33"/>
  <c r="G314" i="33"/>
  <c r="G313" i="33"/>
  <c r="G312" i="33"/>
  <c r="G311" i="33"/>
  <c r="G310" i="33"/>
  <c r="G309" i="33"/>
  <c r="G308" i="33"/>
  <c r="G307" i="33"/>
  <c r="G306" i="33"/>
  <c r="G305" i="33"/>
  <c r="G304" i="33"/>
  <c r="G303" i="33"/>
  <c r="G302" i="33"/>
  <c r="G301" i="33"/>
  <c r="G300" i="33"/>
  <c r="G299" i="33"/>
  <c r="G298" i="33"/>
  <c r="G297" i="33"/>
  <c r="G296" i="33"/>
  <c r="G295" i="33"/>
  <c r="G294" i="33"/>
  <c r="G293" i="33"/>
  <c r="G292" i="33"/>
  <c r="G291" i="33"/>
  <c r="G290" i="33"/>
  <c r="G289" i="33"/>
  <c r="G288" i="33"/>
  <c r="G287" i="33"/>
  <c r="G286" i="33"/>
  <c r="G285" i="33"/>
  <c r="G284" i="33"/>
  <c r="G283" i="33"/>
  <c r="G282" i="33"/>
  <c r="G281" i="33"/>
  <c r="G280" i="33"/>
  <c r="G279" i="33"/>
  <c r="G278" i="33"/>
  <c r="G277" i="33"/>
  <c r="G276" i="33"/>
  <c r="G275" i="33"/>
  <c r="G274" i="33"/>
  <c r="G273" i="33"/>
  <c r="G272" i="33"/>
  <c r="G271" i="33"/>
  <c r="G270" i="33"/>
  <c r="G269" i="33"/>
  <c r="G268" i="33"/>
  <c r="G267" i="33"/>
  <c r="G266" i="33"/>
  <c r="G265" i="33"/>
  <c r="G264" i="33"/>
  <c r="G263" i="33"/>
  <c r="G262" i="33"/>
  <c r="G261" i="33"/>
  <c r="G260" i="33"/>
  <c r="G259" i="33"/>
  <c r="G258" i="33"/>
  <c r="G257" i="33"/>
  <c r="G256" i="33"/>
  <c r="G255" i="33"/>
  <c r="G254" i="33"/>
  <c r="G253" i="33"/>
  <c r="G252" i="33"/>
  <c r="G251" i="33"/>
  <c r="G250" i="33"/>
  <c r="G249" i="33"/>
  <c r="G248" i="33"/>
  <c r="G247" i="33"/>
  <c r="G246" i="33"/>
  <c r="G245" i="33"/>
  <c r="G244" i="33"/>
  <c r="G243" i="33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G7" i="33"/>
  <c r="G6" i="33"/>
  <c r="G5" i="33"/>
  <c r="G4" i="33"/>
  <c r="G3" i="33"/>
  <c r="J363" i="33"/>
  <c r="I362" i="33"/>
  <c r="I361" i="33"/>
  <c r="I360" i="33"/>
  <c r="I359" i="33"/>
  <c r="I358" i="33"/>
  <c r="I357" i="33"/>
  <c r="I356" i="33"/>
  <c r="I355" i="33"/>
  <c r="I354" i="33"/>
  <c r="I353" i="33"/>
  <c r="I352" i="33"/>
  <c r="I351" i="33"/>
  <c r="I350" i="33"/>
  <c r="I349" i="33"/>
  <c r="I348" i="33"/>
  <c r="I347" i="33"/>
  <c r="I346" i="33"/>
  <c r="I345" i="33"/>
  <c r="I344" i="33"/>
  <c r="I343" i="33"/>
  <c r="I342" i="33"/>
  <c r="I341" i="33"/>
  <c r="I340" i="33"/>
  <c r="I339" i="33"/>
  <c r="I338" i="33"/>
  <c r="I337" i="33"/>
  <c r="I336" i="33"/>
  <c r="I335" i="33"/>
  <c r="I334" i="33"/>
  <c r="I333" i="33"/>
  <c r="I332" i="33"/>
  <c r="I331" i="33"/>
  <c r="I330" i="33"/>
  <c r="I329" i="33"/>
  <c r="I328" i="33"/>
  <c r="I327" i="33"/>
  <c r="I326" i="33"/>
  <c r="I325" i="33"/>
  <c r="I324" i="33"/>
  <c r="I323" i="33"/>
  <c r="I322" i="33"/>
  <c r="I321" i="33"/>
  <c r="I320" i="33"/>
  <c r="I319" i="33"/>
  <c r="I318" i="33"/>
  <c r="I317" i="33"/>
  <c r="I316" i="33"/>
  <c r="I315" i="33"/>
  <c r="I314" i="33"/>
  <c r="I313" i="33"/>
  <c r="I312" i="33"/>
  <c r="I311" i="33"/>
  <c r="I310" i="33"/>
  <c r="I309" i="33"/>
  <c r="I308" i="33"/>
  <c r="I307" i="33"/>
  <c r="I306" i="33"/>
  <c r="I305" i="33"/>
  <c r="I304" i="33"/>
  <c r="I303" i="33"/>
  <c r="I302" i="33"/>
  <c r="I301" i="33"/>
  <c r="I300" i="33"/>
  <c r="I299" i="33"/>
  <c r="I298" i="33"/>
  <c r="I297" i="33"/>
  <c r="I296" i="33"/>
  <c r="I295" i="33"/>
  <c r="I294" i="33"/>
  <c r="I293" i="33"/>
  <c r="I292" i="33"/>
  <c r="I291" i="33"/>
  <c r="I290" i="33"/>
  <c r="I289" i="33"/>
  <c r="I288" i="33"/>
  <c r="I287" i="33"/>
  <c r="I286" i="33"/>
  <c r="I285" i="33"/>
  <c r="I284" i="33"/>
  <c r="I283" i="33"/>
  <c r="I282" i="33"/>
  <c r="I281" i="33"/>
  <c r="I280" i="33"/>
  <c r="I279" i="33"/>
  <c r="I278" i="33"/>
  <c r="I277" i="33"/>
  <c r="I276" i="33"/>
  <c r="I275" i="33"/>
  <c r="I274" i="33"/>
  <c r="I273" i="33"/>
  <c r="I272" i="33"/>
  <c r="I271" i="33"/>
  <c r="I270" i="33"/>
  <c r="I269" i="33"/>
  <c r="I268" i="33"/>
  <c r="I267" i="33"/>
  <c r="I266" i="33"/>
  <c r="I265" i="33"/>
  <c r="I264" i="33"/>
  <c r="I263" i="33"/>
  <c r="I262" i="33"/>
  <c r="I261" i="33"/>
  <c r="I260" i="33"/>
  <c r="I259" i="33"/>
  <c r="I258" i="33"/>
  <c r="I257" i="33"/>
  <c r="I256" i="33"/>
  <c r="I255" i="33"/>
  <c r="I254" i="33"/>
  <c r="I253" i="33"/>
  <c r="I252" i="33"/>
  <c r="I251" i="33"/>
  <c r="I250" i="33"/>
  <c r="I249" i="33"/>
  <c r="I248" i="33"/>
  <c r="I247" i="33"/>
  <c r="I246" i="33"/>
  <c r="I245" i="33"/>
  <c r="I244" i="33"/>
  <c r="I243" i="33"/>
  <c r="I242" i="33"/>
  <c r="I241" i="33"/>
  <c r="I240" i="33"/>
  <c r="I239" i="33"/>
  <c r="I238" i="33"/>
  <c r="I237" i="33"/>
  <c r="I236" i="33"/>
  <c r="I235" i="33"/>
  <c r="I234" i="33"/>
  <c r="I233" i="33"/>
  <c r="I232" i="33"/>
  <c r="I231" i="33"/>
  <c r="I230" i="33"/>
  <c r="I229" i="33"/>
  <c r="I228" i="33"/>
  <c r="I227" i="33"/>
  <c r="I226" i="33"/>
  <c r="I225" i="33"/>
  <c r="I224" i="33"/>
  <c r="I223" i="33"/>
  <c r="I222" i="33"/>
  <c r="I221" i="33"/>
  <c r="I220" i="33"/>
  <c r="I219" i="33"/>
  <c r="I218" i="33"/>
  <c r="I217" i="33"/>
  <c r="I216" i="33"/>
  <c r="I215" i="33"/>
  <c r="I214" i="33"/>
  <c r="I213" i="33"/>
  <c r="I212" i="33"/>
  <c r="I211" i="33"/>
  <c r="I210" i="33"/>
  <c r="I209" i="33"/>
  <c r="I208" i="33"/>
  <c r="I207" i="33"/>
  <c r="I206" i="33"/>
  <c r="I205" i="33"/>
  <c r="I204" i="33"/>
  <c r="I203" i="33"/>
  <c r="I202" i="33"/>
  <c r="I201" i="33"/>
  <c r="I200" i="33"/>
  <c r="I199" i="33"/>
  <c r="I198" i="33"/>
  <c r="I197" i="33"/>
  <c r="I196" i="33"/>
  <c r="I195" i="33"/>
  <c r="I194" i="33"/>
  <c r="I193" i="33"/>
  <c r="I192" i="33"/>
  <c r="I191" i="33"/>
  <c r="I190" i="33"/>
  <c r="I189" i="33"/>
  <c r="I188" i="33"/>
  <c r="I187" i="33"/>
  <c r="I186" i="33"/>
  <c r="I185" i="33"/>
  <c r="I184" i="33"/>
  <c r="I183" i="33"/>
  <c r="I182" i="33"/>
  <c r="I181" i="33"/>
  <c r="I180" i="33"/>
  <c r="I179" i="33"/>
  <c r="I178" i="33"/>
  <c r="I177" i="33"/>
  <c r="I176" i="33"/>
  <c r="I175" i="33"/>
  <c r="I174" i="33"/>
  <c r="I173" i="33"/>
  <c r="I172" i="33"/>
  <c r="I171" i="33"/>
  <c r="I170" i="33"/>
  <c r="I169" i="33"/>
  <c r="I168" i="33"/>
  <c r="I167" i="33"/>
  <c r="I166" i="33"/>
  <c r="I165" i="33"/>
  <c r="I164" i="33"/>
  <c r="I163" i="33"/>
  <c r="I162" i="33"/>
  <c r="I161" i="33"/>
  <c r="I160" i="33"/>
  <c r="I159" i="33"/>
  <c r="I158" i="33"/>
  <c r="I157" i="33"/>
  <c r="I156" i="33"/>
  <c r="I155" i="33"/>
  <c r="I154" i="33"/>
  <c r="I153" i="33"/>
  <c r="I152" i="33"/>
  <c r="I151" i="33"/>
  <c r="I150" i="33"/>
  <c r="I149" i="33"/>
  <c r="I148" i="33"/>
  <c r="I147" i="33"/>
  <c r="I146" i="33"/>
  <c r="I145" i="33"/>
  <c r="I144" i="33"/>
  <c r="I143" i="33"/>
  <c r="I142" i="33"/>
  <c r="I141" i="33"/>
  <c r="I140" i="33"/>
  <c r="I139" i="33"/>
  <c r="I138" i="33"/>
  <c r="I137" i="33"/>
  <c r="I136" i="33"/>
  <c r="I135" i="33"/>
  <c r="I134" i="33"/>
  <c r="I133" i="33"/>
  <c r="I132" i="33"/>
  <c r="I131" i="33"/>
  <c r="I130" i="33"/>
  <c r="I129" i="33"/>
  <c r="I128" i="33"/>
  <c r="I127" i="33"/>
  <c r="I126" i="33"/>
  <c r="I125" i="33"/>
  <c r="I124" i="33"/>
  <c r="I123" i="33"/>
  <c r="I122" i="33"/>
  <c r="I121" i="33"/>
  <c r="I120" i="33"/>
  <c r="I119" i="33"/>
  <c r="I118" i="33"/>
  <c r="I117" i="33"/>
  <c r="I116" i="33"/>
  <c r="I115" i="33"/>
  <c r="I114" i="33"/>
  <c r="I113" i="33"/>
  <c r="I112" i="33"/>
  <c r="I111" i="33"/>
  <c r="I110" i="33"/>
  <c r="I109" i="33"/>
  <c r="I108" i="33"/>
  <c r="I107" i="33"/>
  <c r="I106" i="33"/>
  <c r="I105" i="33"/>
  <c r="I104" i="33"/>
  <c r="I103" i="33"/>
  <c r="I102" i="33"/>
  <c r="I101" i="33"/>
  <c r="I100" i="33"/>
  <c r="I99" i="33"/>
  <c r="I98" i="33"/>
  <c r="I97" i="33"/>
  <c r="I96" i="33"/>
  <c r="I95" i="33"/>
  <c r="I94" i="33"/>
  <c r="I93" i="33"/>
  <c r="I92" i="33"/>
  <c r="I91" i="33"/>
  <c r="I90" i="33"/>
  <c r="I89" i="33"/>
  <c r="I88" i="33"/>
  <c r="I87" i="33"/>
  <c r="I86" i="33"/>
  <c r="I85" i="33"/>
  <c r="I84" i="33"/>
  <c r="I83" i="33"/>
  <c r="I82" i="33"/>
  <c r="I81" i="33"/>
  <c r="I80" i="33"/>
  <c r="I79" i="33"/>
  <c r="I78" i="33"/>
  <c r="I77" i="33"/>
  <c r="I76" i="33"/>
  <c r="I75" i="33"/>
  <c r="I74" i="33"/>
  <c r="I73" i="33"/>
  <c r="I72" i="33"/>
  <c r="I71" i="33"/>
  <c r="I70" i="33"/>
  <c r="I69" i="33"/>
  <c r="I68" i="33"/>
  <c r="I67" i="33"/>
  <c r="I66" i="33"/>
  <c r="I65" i="33"/>
  <c r="I64" i="33"/>
  <c r="I63" i="33"/>
  <c r="I62" i="33"/>
  <c r="I61" i="33"/>
  <c r="I60" i="33"/>
  <c r="I59" i="33"/>
  <c r="I58" i="33"/>
  <c r="I57" i="33"/>
  <c r="I56" i="33"/>
  <c r="I55" i="33"/>
  <c r="I54" i="33"/>
  <c r="I53" i="33"/>
  <c r="I52" i="33"/>
  <c r="I51" i="33"/>
  <c r="I50" i="33"/>
  <c r="I49" i="33"/>
  <c r="I48" i="33"/>
  <c r="I47" i="33"/>
  <c r="I46" i="33"/>
  <c r="I45" i="33"/>
  <c r="I44" i="33"/>
  <c r="I43" i="33"/>
  <c r="I42" i="33"/>
  <c r="I41" i="33"/>
  <c r="I40" i="33"/>
  <c r="I39" i="33"/>
  <c r="I38" i="33"/>
  <c r="I37" i="33"/>
  <c r="I36" i="33"/>
  <c r="I35" i="33"/>
  <c r="I34" i="33"/>
  <c r="I33" i="33"/>
  <c r="I32" i="33"/>
  <c r="I31" i="33"/>
  <c r="I30" i="33"/>
  <c r="I29" i="33"/>
  <c r="I28" i="33"/>
  <c r="I27" i="33"/>
  <c r="I26" i="33"/>
  <c r="I25" i="33"/>
  <c r="I24" i="33"/>
  <c r="I23" i="33"/>
  <c r="I22" i="33"/>
  <c r="I21" i="33"/>
  <c r="I20" i="33"/>
  <c r="I19" i="33"/>
  <c r="I18" i="33"/>
  <c r="I17" i="33"/>
  <c r="I16" i="33"/>
  <c r="I15" i="33"/>
  <c r="I14" i="33"/>
  <c r="I13" i="33"/>
  <c r="I12" i="33"/>
  <c r="I11" i="33"/>
  <c r="I10" i="33"/>
  <c r="I9" i="33"/>
  <c r="I8" i="33"/>
  <c r="I7" i="33"/>
  <c r="I6" i="33"/>
  <c r="I5" i="33"/>
  <c r="I4" i="33"/>
  <c r="I3" i="33"/>
  <c r="L363" i="33"/>
  <c r="L362" i="33"/>
  <c r="L361" i="33"/>
  <c r="L360" i="33"/>
  <c r="L359" i="33"/>
  <c r="L358" i="33"/>
  <c r="L357" i="33"/>
  <c r="L356" i="33"/>
  <c r="L355" i="33"/>
  <c r="L354" i="33"/>
  <c r="L353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L332" i="33"/>
  <c r="L331" i="33"/>
  <c r="L330" i="33"/>
  <c r="L329" i="33"/>
  <c r="L328" i="33"/>
  <c r="L327" i="33"/>
  <c r="L326" i="33"/>
  <c r="L325" i="33"/>
  <c r="L324" i="33"/>
  <c r="L323" i="33"/>
  <c r="L322" i="33"/>
  <c r="L321" i="33"/>
  <c r="L320" i="33"/>
  <c r="L319" i="33"/>
  <c r="L318" i="33"/>
  <c r="L317" i="33"/>
  <c r="L316" i="33"/>
  <c r="L315" i="33"/>
  <c r="L314" i="33"/>
  <c r="L313" i="33"/>
  <c r="L312" i="33"/>
  <c r="L311" i="33"/>
  <c r="L310" i="33"/>
  <c r="L309" i="33"/>
  <c r="L308" i="33"/>
  <c r="L307" i="33"/>
  <c r="L306" i="33"/>
  <c r="L305" i="33"/>
  <c r="L304" i="33"/>
  <c r="L303" i="33"/>
  <c r="L302" i="33"/>
  <c r="L301" i="33"/>
  <c r="L300" i="33"/>
  <c r="L299" i="33"/>
  <c r="L298" i="33"/>
  <c r="L297" i="33"/>
  <c r="L296" i="33"/>
  <c r="L295" i="33"/>
  <c r="L294" i="33"/>
  <c r="L293" i="33"/>
  <c r="L292" i="33"/>
  <c r="L291" i="33"/>
  <c r="L290" i="33"/>
  <c r="L289" i="33"/>
  <c r="L288" i="33"/>
  <c r="L287" i="33"/>
  <c r="L286" i="33"/>
  <c r="L285" i="33"/>
  <c r="L284" i="33"/>
  <c r="L283" i="33"/>
  <c r="L282" i="33"/>
  <c r="L281" i="33"/>
  <c r="L280" i="33"/>
  <c r="L279" i="33"/>
  <c r="L278" i="33"/>
  <c r="L277" i="33"/>
  <c r="L276" i="33"/>
  <c r="L275" i="33"/>
  <c r="L274" i="33"/>
  <c r="L273" i="33"/>
  <c r="L272" i="33"/>
  <c r="L271" i="33"/>
  <c r="L270" i="33"/>
  <c r="L269" i="33"/>
  <c r="L268" i="33"/>
  <c r="L267" i="33"/>
  <c r="L266" i="33"/>
  <c r="L265" i="33"/>
  <c r="L264" i="33"/>
  <c r="L263" i="33"/>
  <c r="L262" i="33"/>
  <c r="L261" i="33"/>
  <c r="L260" i="33"/>
  <c r="L259" i="33"/>
  <c r="L258" i="33"/>
  <c r="L257" i="33"/>
  <c r="L256" i="33"/>
  <c r="L255" i="33"/>
  <c r="L254" i="33"/>
  <c r="L253" i="33"/>
  <c r="L252" i="33"/>
  <c r="L251" i="33"/>
  <c r="L250" i="33"/>
  <c r="L249" i="33"/>
  <c r="L248" i="33"/>
  <c r="L247" i="33"/>
  <c r="L246" i="33"/>
  <c r="L245" i="33"/>
  <c r="L244" i="33"/>
  <c r="L243" i="33"/>
  <c r="L242" i="33"/>
  <c r="L241" i="33"/>
  <c r="L240" i="33"/>
  <c r="L239" i="33"/>
  <c r="L238" i="33"/>
  <c r="L237" i="33"/>
  <c r="L236" i="33"/>
  <c r="L235" i="33"/>
  <c r="L234" i="33"/>
  <c r="L233" i="33"/>
  <c r="L232" i="33"/>
  <c r="L231" i="33"/>
  <c r="L230" i="33"/>
  <c r="L229" i="33"/>
  <c r="L228" i="33"/>
  <c r="L227" i="33"/>
  <c r="L226" i="33"/>
  <c r="L225" i="33"/>
  <c r="L224" i="33"/>
  <c r="L223" i="33"/>
  <c r="L222" i="33"/>
  <c r="L221" i="33"/>
  <c r="L220" i="33"/>
  <c r="L219" i="33"/>
  <c r="L218" i="33"/>
  <c r="L217" i="33"/>
  <c r="L216" i="33"/>
  <c r="L215" i="33"/>
  <c r="L214" i="33"/>
  <c r="L213" i="33"/>
  <c r="L212" i="33"/>
  <c r="L211" i="33"/>
  <c r="L210" i="33"/>
  <c r="L209" i="33"/>
  <c r="L208" i="33"/>
  <c r="L207" i="33"/>
  <c r="L206" i="33"/>
  <c r="L205" i="33"/>
  <c r="L204" i="33"/>
  <c r="L203" i="33"/>
  <c r="L202" i="33"/>
  <c r="L201" i="33"/>
  <c r="L200" i="33"/>
  <c r="L199" i="33"/>
  <c r="L198" i="33"/>
  <c r="L197" i="33"/>
  <c r="L196" i="33"/>
  <c r="L195" i="33"/>
  <c r="L194" i="33"/>
  <c r="L193" i="33"/>
  <c r="L192" i="33"/>
  <c r="L191" i="33"/>
  <c r="L190" i="33"/>
  <c r="L189" i="33"/>
  <c r="L188" i="33"/>
  <c r="L187" i="33"/>
  <c r="L186" i="33"/>
  <c r="L185" i="33"/>
  <c r="L184" i="33"/>
  <c r="L183" i="33"/>
  <c r="L182" i="33"/>
  <c r="L181" i="33"/>
  <c r="L180" i="33"/>
  <c r="L179" i="33"/>
  <c r="L178" i="33"/>
  <c r="L177" i="33"/>
  <c r="L176" i="33"/>
  <c r="L175" i="33"/>
  <c r="L174" i="33"/>
  <c r="L173" i="33"/>
  <c r="L172" i="33"/>
  <c r="L171" i="33"/>
  <c r="L170" i="33"/>
  <c r="L169" i="33"/>
  <c r="L168" i="33"/>
  <c r="L167" i="33"/>
  <c r="L166" i="33"/>
  <c r="L165" i="33"/>
  <c r="L164" i="33"/>
  <c r="L163" i="33"/>
  <c r="L162" i="33"/>
  <c r="L161" i="33"/>
  <c r="L160" i="33"/>
  <c r="L159" i="33"/>
  <c r="L158" i="33"/>
  <c r="L157" i="33"/>
  <c r="L156" i="33"/>
  <c r="L155" i="33"/>
  <c r="L154" i="33"/>
  <c r="L153" i="33"/>
  <c r="L152" i="33"/>
  <c r="L151" i="33"/>
  <c r="L150" i="33"/>
  <c r="L149" i="33"/>
  <c r="L148" i="33"/>
  <c r="L147" i="33"/>
  <c r="L146" i="33"/>
  <c r="L145" i="33"/>
  <c r="L144" i="33"/>
  <c r="L143" i="33"/>
  <c r="L142" i="33"/>
  <c r="L141" i="33"/>
  <c r="L140" i="33"/>
  <c r="L139" i="33"/>
  <c r="L138" i="33"/>
  <c r="L137" i="33"/>
  <c r="L136" i="33"/>
  <c r="L135" i="33"/>
  <c r="L134" i="33"/>
  <c r="L133" i="33"/>
  <c r="L132" i="33"/>
  <c r="L131" i="33"/>
  <c r="L130" i="33"/>
  <c r="L129" i="33"/>
  <c r="L128" i="33"/>
  <c r="L127" i="33"/>
  <c r="L126" i="33"/>
  <c r="L125" i="33"/>
  <c r="L124" i="33"/>
  <c r="L123" i="33"/>
  <c r="L122" i="33"/>
  <c r="L121" i="33"/>
  <c r="L120" i="33"/>
  <c r="L119" i="33"/>
  <c r="L118" i="33"/>
  <c r="L117" i="33"/>
  <c r="L116" i="33"/>
  <c r="L115" i="33"/>
  <c r="L114" i="33"/>
  <c r="L113" i="33"/>
  <c r="L112" i="33"/>
  <c r="L111" i="33"/>
  <c r="L110" i="33"/>
  <c r="L109" i="33"/>
  <c r="L108" i="33"/>
  <c r="L107" i="33"/>
  <c r="L106" i="33"/>
  <c r="L105" i="33"/>
  <c r="L104" i="33"/>
  <c r="L103" i="33"/>
  <c r="L102" i="33"/>
  <c r="L101" i="33"/>
  <c r="L100" i="33"/>
  <c r="L99" i="33"/>
  <c r="L98" i="33"/>
  <c r="L97" i="33"/>
  <c r="L96" i="33"/>
  <c r="L95" i="33"/>
  <c r="L94" i="33"/>
  <c r="L93" i="33"/>
  <c r="L92" i="33"/>
  <c r="L91" i="33"/>
  <c r="L90" i="33"/>
  <c r="L89" i="33"/>
  <c r="L88" i="33"/>
  <c r="L87" i="33"/>
  <c r="L86" i="33"/>
  <c r="L85" i="33"/>
  <c r="L84" i="33"/>
  <c r="L83" i="33"/>
  <c r="L82" i="33"/>
  <c r="L81" i="33"/>
  <c r="L80" i="33"/>
  <c r="L79" i="33"/>
  <c r="L78" i="33"/>
  <c r="L77" i="33"/>
  <c r="L76" i="33"/>
  <c r="L75" i="33"/>
  <c r="L74" i="33"/>
  <c r="L73" i="33"/>
  <c r="L72" i="33"/>
  <c r="L71" i="33"/>
  <c r="L70" i="33"/>
  <c r="L69" i="33"/>
  <c r="L68" i="33"/>
  <c r="L67" i="33"/>
  <c r="L66" i="33"/>
  <c r="L65" i="33"/>
  <c r="L64" i="33"/>
  <c r="L63" i="33"/>
  <c r="L62" i="33"/>
  <c r="L61" i="33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10" i="33"/>
  <c r="L9" i="33"/>
  <c r="L8" i="33"/>
  <c r="L7" i="33"/>
  <c r="L6" i="33"/>
  <c r="L5" i="33"/>
  <c r="L4" i="33"/>
  <c r="L3" i="33"/>
  <c r="V83" i="26"/>
  <c r="U82" i="26"/>
  <c r="AH13" i="25"/>
  <c r="AH14" i="25"/>
  <c r="AH17" i="25"/>
  <c r="AH18" i="25"/>
  <c r="AD13" i="25"/>
  <c r="AD14" i="25"/>
  <c r="AD17" i="25"/>
  <c r="AD18" i="25"/>
  <c r="AH11" i="25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F112" i="16"/>
  <c r="F111" i="16"/>
  <c r="F110" i="16"/>
  <c r="F109" i="16"/>
  <c r="F108" i="16"/>
  <c r="F107" i="16"/>
  <c r="F106" i="16"/>
  <c r="I113" i="16"/>
  <c r="I112" i="16"/>
  <c r="I111" i="16"/>
  <c r="I110" i="16"/>
  <c r="I109" i="16"/>
  <c r="I108" i="16"/>
  <c r="I107" i="16"/>
  <c r="I106" i="16"/>
  <c r="I105" i="16"/>
  <c r="I104" i="16"/>
  <c r="V31" i="26"/>
  <c r="U32" i="26"/>
  <c r="T29" i="26"/>
  <c r="R83" i="26"/>
  <c r="Q82" i="26"/>
  <c r="V35" i="26"/>
  <c r="U34" i="26"/>
  <c r="AF13" i="25"/>
  <c r="AF14" i="25"/>
  <c r="AF17" i="25"/>
  <c r="AF18" i="25"/>
  <c r="AB13" i="25"/>
  <c r="AB14" i="25"/>
  <c r="AB17" i="25"/>
  <c r="AB18" i="25"/>
  <c r="AD11" i="25"/>
  <c r="AF11" i="25"/>
  <c r="AO183" i="25"/>
  <c r="AO184" i="25"/>
  <c r="AF19" i="25"/>
  <c r="AZ193" i="25"/>
  <c r="AZ194" i="25"/>
  <c r="AF21" i="25"/>
  <c r="AF23" i="25"/>
  <c r="BI202" i="25"/>
  <c r="BI203" i="25"/>
  <c r="AF22" i="25"/>
  <c r="J362" i="33"/>
  <c r="J361" i="33"/>
  <c r="J360" i="33"/>
  <c r="J359" i="33"/>
  <c r="J358" i="33"/>
  <c r="J357" i="33"/>
  <c r="J356" i="33"/>
  <c r="J355" i="33"/>
  <c r="J354" i="33"/>
  <c r="J353" i="33"/>
  <c r="J352" i="33"/>
  <c r="J351" i="33"/>
  <c r="J350" i="33"/>
  <c r="J349" i="33"/>
  <c r="J348" i="33"/>
  <c r="J347" i="33"/>
  <c r="J346" i="33"/>
  <c r="J345" i="33"/>
  <c r="J344" i="33"/>
  <c r="J343" i="33"/>
  <c r="J342" i="33"/>
  <c r="J341" i="33"/>
  <c r="J340" i="33"/>
  <c r="J339" i="33"/>
  <c r="J338" i="33"/>
  <c r="J337" i="33"/>
  <c r="J336" i="33"/>
  <c r="J335" i="33"/>
  <c r="J334" i="33"/>
  <c r="J333" i="33"/>
  <c r="J332" i="33"/>
  <c r="J331" i="33"/>
  <c r="J330" i="33"/>
  <c r="J329" i="33"/>
  <c r="J328" i="33"/>
  <c r="J327" i="33"/>
  <c r="J326" i="33"/>
  <c r="J325" i="33"/>
  <c r="J324" i="33"/>
  <c r="J323" i="33"/>
  <c r="J322" i="33"/>
  <c r="J321" i="33"/>
  <c r="J320" i="33"/>
  <c r="J319" i="33"/>
  <c r="J318" i="33"/>
  <c r="J317" i="33"/>
  <c r="J316" i="33"/>
  <c r="J315" i="33"/>
  <c r="J314" i="33"/>
  <c r="J313" i="33"/>
  <c r="J312" i="33"/>
  <c r="J311" i="33"/>
  <c r="J310" i="33"/>
  <c r="J309" i="33"/>
  <c r="J308" i="33"/>
  <c r="J307" i="33"/>
  <c r="J306" i="33"/>
  <c r="J305" i="33"/>
  <c r="J304" i="33"/>
  <c r="J303" i="33"/>
  <c r="J302" i="33"/>
  <c r="J301" i="33"/>
  <c r="J300" i="33"/>
  <c r="J299" i="33"/>
  <c r="J298" i="33"/>
  <c r="J297" i="33"/>
  <c r="J296" i="33"/>
  <c r="J295" i="33"/>
  <c r="J294" i="33"/>
  <c r="J293" i="33"/>
  <c r="J292" i="33"/>
  <c r="J291" i="33"/>
  <c r="J290" i="33"/>
  <c r="J289" i="33"/>
  <c r="J288" i="33"/>
  <c r="J287" i="33"/>
  <c r="J286" i="33"/>
  <c r="J285" i="33"/>
  <c r="J284" i="33"/>
  <c r="J283" i="33"/>
  <c r="J282" i="33"/>
  <c r="J281" i="33"/>
  <c r="J280" i="33"/>
  <c r="J279" i="33"/>
  <c r="J278" i="33"/>
  <c r="J277" i="33"/>
  <c r="J276" i="33"/>
  <c r="J275" i="33"/>
  <c r="J274" i="33"/>
  <c r="J273" i="33"/>
  <c r="J272" i="33"/>
  <c r="J271" i="33"/>
  <c r="J270" i="33"/>
  <c r="J269" i="33"/>
  <c r="J268" i="33"/>
  <c r="J267" i="33"/>
  <c r="J266" i="33"/>
  <c r="J265" i="33"/>
  <c r="J264" i="33"/>
  <c r="J263" i="33"/>
  <c r="J262" i="33"/>
  <c r="J261" i="33"/>
  <c r="J260" i="33"/>
  <c r="J259" i="33"/>
  <c r="J258" i="33"/>
  <c r="J257" i="33"/>
  <c r="J256" i="33"/>
  <c r="J255" i="33"/>
  <c r="J254" i="33"/>
  <c r="J253" i="33"/>
  <c r="J252" i="33"/>
  <c r="J251" i="33"/>
  <c r="J250" i="33"/>
  <c r="J249" i="33"/>
  <c r="J248" i="33"/>
  <c r="J247" i="33"/>
  <c r="J246" i="33"/>
  <c r="J245" i="33"/>
  <c r="J244" i="33"/>
  <c r="J243" i="33"/>
  <c r="J242" i="33"/>
  <c r="J241" i="33"/>
  <c r="J240" i="33"/>
  <c r="J239" i="33"/>
  <c r="J238" i="33"/>
  <c r="J237" i="33"/>
  <c r="J236" i="33"/>
  <c r="J235" i="33"/>
  <c r="J234" i="33"/>
  <c r="J233" i="33"/>
  <c r="J232" i="33"/>
  <c r="J231" i="33"/>
  <c r="J230" i="33"/>
  <c r="J229" i="33"/>
  <c r="J228" i="33"/>
  <c r="J227" i="33"/>
  <c r="J226" i="33"/>
  <c r="J225" i="33"/>
  <c r="J224" i="33"/>
  <c r="J223" i="33"/>
  <c r="J222" i="33"/>
  <c r="J221" i="33"/>
  <c r="J220" i="33"/>
  <c r="J219" i="33"/>
  <c r="J218" i="33"/>
  <c r="J217" i="33"/>
  <c r="J216" i="33"/>
  <c r="J215" i="33"/>
  <c r="J214" i="33"/>
  <c r="J213" i="33"/>
  <c r="J212" i="33"/>
  <c r="J211" i="33"/>
  <c r="J210" i="33"/>
  <c r="J209" i="33"/>
  <c r="J208" i="33"/>
  <c r="J207" i="33"/>
  <c r="J206" i="33"/>
  <c r="J205" i="33"/>
  <c r="J204" i="33"/>
  <c r="J203" i="33"/>
  <c r="J202" i="33"/>
  <c r="J201" i="33"/>
  <c r="J200" i="33"/>
  <c r="J199" i="33"/>
  <c r="J198" i="33"/>
  <c r="J197" i="33"/>
  <c r="J196" i="33"/>
  <c r="J195" i="33"/>
  <c r="J194" i="33"/>
  <c r="J193" i="33"/>
  <c r="J192" i="33"/>
  <c r="J191" i="33"/>
  <c r="J190" i="33"/>
  <c r="J189" i="33"/>
  <c r="J188" i="33"/>
  <c r="J187" i="33"/>
  <c r="J186" i="33"/>
  <c r="J185" i="33"/>
  <c r="J184" i="33"/>
  <c r="J183" i="33"/>
  <c r="J182" i="33"/>
  <c r="J181" i="33"/>
  <c r="J180" i="33"/>
  <c r="J179" i="33"/>
  <c r="J178" i="33"/>
  <c r="J177" i="33"/>
  <c r="J176" i="33"/>
  <c r="J175" i="33"/>
  <c r="J174" i="33"/>
  <c r="J173" i="33"/>
  <c r="J172" i="33"/>
  <c r="J171" i="33"/>
  <c r="J170" i="33"/>
  <c r="J169" i="33"/>
  <c r="J168" i="33"/>
  <c r="J167" i="33"/>
  <c r="J166" i="33"/>
  <c r="J165" i="33"/>
  <c r="J164" i="33"/>
  <c r="J163" i="33"/>
  <c r="J162" i="33"/>
  <c r="J161" i="33"/>
  <c r="J160" i="33"/>
  <c r="J159" i="33"/>
  <c r="J158" i="33"/>
  <c r="J157" i="33"/>
  <c r="J156" i="33"/>
  <c r="J155" i="33"/>
  <c r="J154" i="33"/>
  <c r="J153" i="33"/>
  <c r="J152" i="33"/>
  <c r="J151" i="33"/>
  <c r="J150" i="33"/>
  <c r="J149" i="33"/>
  <c r="J148" i="33"/>
  <c r="J147" i="33"/>
  <c r="J146" i="33"/>
  <c r="J145" i="33"/>
  <c r="J144" i="33"/>
  <c r="J143" i="33"/>
  <c r="J142" i="33"/>
  <c r="J141" i="33"/>
  <c r="J140" i="33"/>
  <c r="J139" i="33"/>
  <c r="J138" i="33"/>
  <c r="J137" i="33"/>
  <c r="J136" i="33"/>
  <c r="J135" i="33"/>
  <c r="J134" i="33"/>
  <c r="J133" i="33"/>
  <c r="J132" i="33"/>
  <c r="J131" i="33"/>
  <c r="J130" i="33"/>
  <c r="J129" i="33"/>
  <c r="J128" i="33"/>
  <c r="J127" i="33"/>
  <c r="J126" i="33"/>
  <c r="J125" i="33"/>
  <c r="J124" i="33"/>
  <c r="J123" i="33"/>
  <c r="J122" i="33"/>
  <c r="J121" i="33"/>
  <c r="J120" i="33"/>
  <c r="J119" i="33"/>
  <c r="J118" i="33"/>
  <c r="J117" i="33"/>
  <c r="J116" i="33"/>
  <c r="J115" i="33"/>
  <c r="J114" i="33"/>
  <c r="J113" i="33"/>
  <c r="J112" i="33"/>
  <c r="J111" i="33"/>
  <c r="J110" i="33"/>
  <c r="J109" i="33"/>
  <c r="J108" i="33"/>
  <c r="J107" i="33"/>
  <c r="J106" i="33"/>
  <c r="J105" i="33"/>
  <c r="J104" i="33"/>
  <c r="J103" i="33"/>
  <c r="J102" i="33"/>
  <c r="J101" i="33"/>
  <c r="J100" i="33"/>
  <c r="J99" i="33"/>
  <c r="J98" i="33"/>
  <c r="J97" i="33"/>
  <c r="J96" i="33"/>
  <c r="J95" i="33"/>
  <c r="J94" i="33"/>
  <c r="J93" i="33"/>
  <c r="J92" i="33"/>
  <c r="J91" i="33"/>
  <c r="J90" i="33"/>
  <c r="J89" i="33"/>
  <c r="J88" i="33"/>
  <c r="J87" i="33"/>
  <c r="J86" i="33"/>
  <c r="J85" i="33"/>
  <c r="J84" i="33"/>
  <c r="J83" i="33"/>
  <c r="J82" i="33"/>
  <c r="J81" i="33"/>
  <c r="J80" i="33"/>
  <c r="J79" i="33"/>
  <c r="J78" i="33"/>
  <c r="J77" i="33"/>
  <c r="J76" i="33"/>
  <c r="J75" i="33"/>
  <c r="J74" i="33"/>
  <c r="J73" i="33"/>
  <c r="J72" i="33"/>
  <c r="J71" i="33"/>
  <c r="J70" i="33"/>
  <c r="J69" i="33"/>
  <c r="J68" i="33"/>
  <c r="J67" i="33"/>
  <c r="J66" i="33"/>
  <c r="J65" i="33"/>
  <c r="J64" i="33"/>
  <c r="J63" i="33"/>
  <c r="J62" i="33"/>
  <c r="J61" i="33"/>
  <c r="J60" i="33"/>
  <c r="J59" i="33"/>
  <c r="J58" i="33"/>
  <c r="J57" i="33"/>
  <c r="J56" i="33"/>
  <c r="J55" i="33"/>
  <c r="J54" i="33"/>
  <c r="J53" i="33"/>
  <c r="J52" i="33"/>
  <c r="J51" i="33"/>
  <c r="J50" i="33"/>
  <c r="J49" i="33"/>
  <c r="J48" i="33"/>
  <c r="J47" i="33"/>
  <c r="J46" i="33"/>
  <c r="J45" i="33"/>
  <c r="J44" i="33"/>
  <c r="J43" i="33"/>
  <c r="J42" i="33"/>
  <c r="J41" i="33"/>
  <c r="J40" i="33"/>
  <c r="J39" i="33"/>
  <c r="J38" i="33"/>
  <c r="J37" i="33"/>
  <c r="J36" i="33"/>
  <c r="J35" i="33"/>
  <c r="J34" i="33"/>
  <c r="J33" i="33"/>
  <c r="J32" i="33"/>
  <c r="J31" i="33"/>
  <c r="J30" i="33"/>
  <c r="J29" i="33"/>
  <c r="J28" i="33"/>
  <c r="J27" i="33"/>
  <c r="J26" i="33"/>
  <c r="J25" i="33"/>
  <c r="J24" i="33"/>
  <c r="J23" i="33"/>
  <c r="J22" i="33"/>
  <c r="J21" i="33"/>
  <c r="J20" i="33"/>
  <c r="J19" i="33"/>
  <c r="J18" i="33"/>
  <c r="J17" i="33"/>
  <c r="J16" i="33"/>
  <c r="J15" i="33"/>
  <c r="J14" i="33"/>
  <c r="J13" i="33"/>
  <c r="J12" i="33"/>
  <c r="J11" i="33"/>
  <c r="J10" i="33"/>
  <c r="J9" i="33"/>
  <c r="J8" i="33"/>
  <c r="J7" i="33"/>
  <c r="J6" i="33"/>
  <c r="J5" i="33"/>
  <c r="J4" i="33"/>
  <c r="J3" i="33"/>
  <c r="M363" i="33"/>
  <c r="M362" i="33"/>
  <c r="M361" i="33"/>
  <c r="M360" i="33"/>
  <c r="M359" i="33"/>
  <c r="M358" i="33"/>
  <c r="M357" i="33"/>
  <c r="M356" i="33"/>
  <c r="M355" i="33"/>
  <c r="M354" i="33"/>
  <c r="M353" i="33"/>
  <c r="M352" i="33"/>
  <c r="M351" i="33"/>
  <c r="M350" i="33"/>
  <c r="M349" i="33"/>
  <c r="M348" i="33"/>
  <c r="M347" i="33"/>
  <c r="M346" i="33"/>
  <c r="M345" i="33"/>
  <c r="M344" i="33"/>
  <c r="M343" i="33"/>
  <c r="M342" i="33"/>
  <c r="M341" i="33"/>
  <c r="M340" i="33"/>
  <c r="M339" i="33"/>
  <c r="M338" i="33"/>
  <c r="M337" i="33"/>
  <c r="M336" i="33"/>
  <c r="M335" i="33"/>
  <c r="M334" i="33"/>
  <c r="M333" i="33"/>
  <c r="M332" i="33"/>
  <c r="M331" i="33"/>
  <c r="M330" i="33"/>
  <c r="M329" i="33"/>
  <c r="M328" i="33"/>
  <c r="M327" i="33"/>
  <c r="M326" i="33"/>
  <c r="M325" i="33"/>
  <c r="M324" i="33"/>
  <c r="M323" i="33"/>
  <c r="M322" i="33"/>
  <c r="M321" i="33"/>
  <c r="M320" i="33"/>
  <c r="M319" i="33"/>
  <c r="M318" i="33"/>
  <c r="M317" i="33"/>
  <c r="M316" i="33"/>
  <c r="M315" i="33"/>
  <c r="M314" i="33"/>
  <c r="M313" i="33"/>
  <c r="M312" i="33"/>
  <c r="M311" i="33"/>
  <c r="M310" i="33"/>
  <c r="M309" i="33"/>
  <c r="M308" i="33"/>
  <c r="M307" i="33"/>
  <c r="M306" i="33"/>
  <c r="M305" i="33"/>
  <c r="M304" i="33"/>
  <c r="M303" i="33"/>
  <c r="M302" i="33"/>
  <c r="M301" i="33"/>
  <c r="M300" i="33"/>
  <c r="M299" i="33"/>
  <c r="M298" i="33"/>
  <c r="M297" i="33"/>
  <c r="M296" i="33"/>
  <c r="M295" i="33"/>
  <c r="M294" i="33"/>
  <c r="M293" i="33"/>
  <c r="M292" i="33"/>
  <c r="M291" i="33"/>
  <c r="M290" i="33"/>
  <c r="M289" i="33"/>
  <c r="M288" i="33"/>
  <c r="M287" i="33"/>
  <c r="M286" i="33"/>
  <c r="M285" i="33"/>
  <c r="M284" i="33"/>
  <c r="M283" i="33"/>
  <c r="M282" i="33"/>
  <c r="M281" i="33"/>
  <c r="M280" i="33"/>
  <c r="M279" i="33"/>
  <c r="M278" i="33"/>
  <c r="M277" i="33"/>
  <c r="M276" i="33"/>
  <c r="M275" i="33"/>
  <c r="M274" i="33"/>
  <c r="M273" i="33"/>
  <c r="M272" i="33"/>
  <c r="M271" i="33"/>
  <c r="M270" i="33"/>
  <c r="M269" i="33"/>
  <c r="M268" i="33"/>
  <c r="M267" i="33"/>
  <c r="M266" i="33"/>
  <c r="M265" i="33"/>
  <c r="M264" i="33"/>
  <c r="M263" i="33"/>
  <c r="M262" i="33"/>
  <c r="M261" i="33"/>
  <c r="M260" i="33"/>
  <c r="M259" i="33"/>
  <c r="M258" i="33"/>
  <c r="M257" i="33"/>
  <c r="M256" i="33"/>
  <c r="M255" i="33"/>
  <c r="M254" i="33"/>
  <c r="M253" i="33"/>
  <c r="M252" i="33"/>
  <c r="M251" i="33"/>
  <c r="M250" i="33"/>
  <c r="M249" i="33"/>
  <c r="M248" i="33"/>
  <c r="M247" i="33"/>
  <c r="M246" i="33"/>
  <c r="M245" i="33"/>
  <c r="M244" i="33"/>
  <c r="M243" i="33"/>
  <c r="M242" i="33"/>
  <c r="M241" i="33"/>
  <c r="M240" i="33"/>
  <c r="M239" i="33"/>
  <c r="M238" i="33"/>
  <c r="M237" i="33"/>
  <c r="M236" i="33"/>
  <c r="M235" i="33"/>
  <c r="M234" i="33"/>
  <c r="M233" i="33"/>
  <c r="M232" i="33"/>
  <c r="M231" i="33"/>
  <c r="M230" i="33"/>
  <c r="M229" i="33"/>
  <c r="M228" i="33"/>
  <c r="M227" i="33"/>
  <c r="M226" i="33"/>
  <c r="M225" i="33"/>
  <c r="M224" i="33"/>
  <c r="M223" i="33"/>
  <c r="M222" i="33"/>
  <c r="M221" i="33"/>
  <c r="M220" i="33"/>
  <c r="M219" i="33"/>
  <c r="M218" i="33"/>
  <c r="M217" i="33"/>
  <c r="M216" i="33"/>
  <c r="M215" i="33"/>
  <c r="M214" i="33"/>
  <c r="M213" i="33"/>
  <c r="M212" i="33"/>
  <c r="M211" i="33"/>
  <c r="M210" i="33"/>
  <c r="M209" i="33"/>
  <c r="M208" i="33"/>
  <c r="M207" i="33"/>
  <c r="M206" i="33"/>
  <c r="M205" i="33"/>
  <c r="M204" i="33"/>
  <c r="M203" i="33"/>
  <c r="M202" i="33"/>
  <c r="M201" i="33"/>
  <c r="M200" i="33"/>
  <c r="M199" i="33"/>
  <c r="M198" i="33"/>
  <c r="M197" i="33"/>
  <c r="M196" i="33"/>
  <c r="M195" i="33"/>
  <c r="M194" i="33"/>
  <c r="M193" i="33"/>
  <c r="M192" i="33"/>
  <c r="M191" i="33"/>
  <c r="M190" i="33"/>
  <c r="M189" i="33"/>
  <c r="M188" i="33"/>
  <c r="M187" i="33"/>
  <c r="M186" i="33"/>
  <c r="M185" i="33"/>
  <c r="M184" i="33"/>
  <c r="M183" i="33"/>
  <c r="M182" i="33"/>
  <c r="M181" i="33"/>
  <c r="M180" i="33"/>
  <c r="M179" i="33"/>
  <c r="M178" i="33"/>
  <c r="M177" i="33"/>
  <c r="M176" i="33"/>
  <c r="M175" i="33"/>
  <c r="M174" i="33"/>
  <c r="M173" i="33"/>
  <c r="M172" i="33"/>
  <c r="M171" i="33"/>
  <c r="M170" i="33"/>
  <c r="M169" i="33"/>
  <c r="M168" i="33"/>
  <c r="M167" i="33"/>
  <c r="M166" i="33"/>
  <c r="M165" i="33"/>
  <c r="M164" i="33"/>
  <c r="M163" i="33"/>
  <c r="M162" i="33"/>
  <c r="M161" i="33"/>
  <c r="M160" i="33"/>
  <c r="M159" i="33"/>
  <c r="M158" i="33"/>
  <c r="M157" i="33"/>
  <c r="M156" i="33"/>
  <c r="M155" i="33"/>
  <c r="M154" i="33"/>
  <c r="M153" i="33"/>
  <c r="M152" i="33"/>
  <c r="M151" i="33"/>
  <c r="M150" i="33"/>
  <c r="M149" i="33"/>
  <c r="M148" i="33"/>
  <c r="M147" i="33"/>
  <c r="M146" i="33"/>
  <c r="M145" i="33"/>
  <c r="M144" i="33"/>
  <c r="M143" i="33"/>
  <c r="M142" i="33"/>
  <c r="M141" i="33"/>
  <c r="M140" i="33"/>
  <c r="M139" i="33"/>
  <c r="M138" i="33"/>
  <c r="M137" i="33"/>
  <c r="M136" i="33"/>
  <c r="M135" i="33"/>
  <c r="M134" i="33"/>
  <c r="M133" i="33"/>
  <c r="M132" i="33"/>
  <c r="M131" i="33"/>
  <c r="M130" i="33"/>
  <c r="M129" i="33"/>
  <c r="M128" i="33"/>
  <c r="M127" i="33"/>
  <c r="M126" i="33"/>
  <c r="M125" i="33"/>
  <c r="M124" i="33"/>
  <c r="M123" i="33"/>
  <c r="M122" i="33"/>
  <c r="M121" i="33"/>
  <c r="M120" i="33"/>
  <c r="M119" i="33"/>
  <c r="M118" i="33"/>
  <c r="M117" i="33"/>
  <c r="M116" i="33"/>
  <c r="M115" i="33"/>
  <c r="M114" i="33"/>
  <c r="M113" i="33"/>
  <c r="M112" i="33"/>
  <c r="M111" i="33"/>
  <c r="M110" i="33"/>
  <c r="M109" i="33"/>
  <c r="M108" i="33"/>
  <c r="M107" i="33"/>
  <c r="M106" i="33"/>
  <c r="M105" i="33"/>
  <c r="M104" i="33"/>
  <c r="M103" i="33"/>
  <c r="M102" i="33"/>
  <c r="M101" i="33"/>
  <c r="M100" i="33"/>
  <c r="M99" i="33"/>
  <c r="M98" i="33"/>
  <c r="M97" i="33"/>
  <c r="M96" i="33"/>
  <c r="M95" i="33"/>
  <c r="M94" i="33"/>
  <c r="M93" i="33"/>
  <c r="M92" i="33"/>
  <c r="M91" i="33"/>
  <c r="M90" i="33"/>
  <c r="M89" i="33"/>
  <c r="M88" i="33"/>
  <c r="M87" i="33"/>
  <c r="M86" i="33"/>
  <c r="M85" i="33"/>
  <c r="M84" i="33"/>
  <c r="M83" i="33"/>
  <c r="M82" i="33"/>
  <c r="M81" i="33"/>
  <c r="M80" i="33"/>
  <c r="M79" i="33"/>
  <c r="M78" i="33"/>
  <c r="M77" i="33"/>
  <c r="M76" i="33"/>
  <c r="M75" i="33"/>
  <c r="M74" i="33"/>
  <c r="M73" i="33"/>
  <c r="M72" i="33"/>
  <c r="M71" i="33"/>
  <c r="M70" i="33"/>
  <c r="M69" i="33"/>
  <c r="M68" i="33"/>
  <c r="M67" i="33"/>
  <c r="M66" i="33"/>
  <c r="M65" i="33"/>
  <c r="M64" i="33"/>
  <c r="M63" i="33"/>
  <c r="M62" i="33"/>
  <c r="M61" i="33"/>
  <c r="M60" i="33"/>
  <c r="M59" i="33"/>
  <c r="M58" i="33"/>
  <c r="M57" i="33"/>
  <c r="M56" i="33"/>
  <c r="M55" i="33"/>
  <c r="M54" i="33"/>
  <c r="M53" i="33"/>
  <c r="M52" i="33"/>
  <c r="M51" i="33"/>
  <c r="M50" i="33"/>
  <c r="M49" i="33"/>
  <c r="M48" i="33"/>
  <c r="M47" i="33"/>
  <c r="M46" i="33"/>
  <c r="M45" i="33"/>
  <c r="M44" i="33"/>
  <c r="M43" i="33"/>
  <c r="M42" i="33"/>
  <c r="M41" i="33"/>
  <c r="M40" i="33"/>
  <c r="M39" i="33"/>
  <c r="M38" i="33"/>
  <c r="M37" i="33"/>
  <c r="M36" i="33"/>
  <c r="M35" i="33"/>
  <c r="M34" i="33"/>
  <c r="M33" i="33"/>
  <c r="M32" i="33"/>
  <c r="M31" i="33"/>
  <c r="M30" i="33"/>
  <c r="M29" i="33"/>
  <c r="M28" i="33"/>
  <c r="M27" i="33"/>
  <c r="M26" i="33"/>
  <c r="M25" i="33"/>
  <c r="M24" i="33"/>
  <c r="M23" i="33"/>
  <c r="M22" i="33"/>
  <c r="M21" i="33"/>
  <c r="M20" i="33"/>
  <c r="M19" i="33"/>
  <c r="M18" i="33"/>
  <c r="M17" i="33"/>
  <c r="M16" i="33"/>
  <c r="M15" i="33"/>
  <c r="M14" i="33"/>
  <c r="M13" i="33"/>
  <c r="M12" i="33"/>
  <c r="M11" i="33"/>
  <c r="M10" i="33"/>
  <c r="M9" i="33"/>
  <c r="M8" i="33"/>
  <c r="M7" i="33"/>
  <c r="M6" i="33"/>
  <c r="M5" i="33"/>
  <c r="M4" i="33"/>
  <c r="M3" i="33"/>
  <c r="P362" i="33"/>
  <c r="P361" i="33"/>
  <c r="P360" i="33"/>
  <c r="P359" i="33"/>
  <c r="P358" i="33"/>
  <c r="P357" i="33"/>
  <c r="P356" i="33"/>
  <c r="P355" i="33"/>
  <c r="P354" i="33"/>
  <c r="P353" i="33"/>
  <c r="P352" i="33"/>
  <c r="P351" i="33"/>
  <c r="P350" i="33"/>
  <c r="P349" i="33"/>
  <c r="P348" i="33"/>
  <c r="P347" i="33"/>
  <c r="P346" i="33"/>
  <c r="P345" i="33"/>
  <c r="P344" i="33"/>
  <c r="P343" i="33"/>
  <c r="P342" i="33"/>
  <c r="P341" i="33"/>
  <c r="P340" i="33"/>
  <c r="P339" i="33"/>
  <c r="P338" i="33"/>
  <c r="P337" i="33"/>
  <c r="P336" i="33"/>
  <c r="P335" i="33"/>
  <c r="P334" i="33"/>
  <c r="P333" i="33"/>
  <c r="P332" i="33"/>
  <c r="P331" i="33"/>
  <c r="P330" i="33"/>
  <c r="P329" i="33"/>
  <c r="P328" i="33"/>
  <c r="P327" i="33"/>
  <c r="P326" i="33"/>
  <c r="P325" i="33"/>
  <c r="P324" i="33"/>
  <c r="P323" i="33"/>
  <c r="P322" i="33"/>
  <c r="P321" i="33"/>
  <c r="P320" i="33"/>
  <c r="P319" i="33"/>
  <c r="P318" i="33"/>
  <c r="P317" i="33"/>
  <c r="P316" i="33"/>
  <c r="P315" i="33"/>
  <c r="P314" i="33"/>
  <c r="P313" i="33"/>
  <c r="P312" i="33"/>
  <c r="P311" i="33"/>
  <c r="P310" i="33"/>
  <c r="P309" i="33"/>
  <c r="P308" i="33"/>
  <c r="P307" i="33"/>
  <c r="P306" i="33"/>
  <c r="P305" i="33"/>
  <c r="P304" i="33"/>
  <c r="P303" i="33"/>
  <c r="P302" i="33"/>
  <c r="P301" i="33"/>
  <c r="P300" i="33"/>
  <c r="P299" i="33"/>
  <c r="P298" i="33"/>
  <c r="P297" i="33"/>
  <c r="P296" i="33"/>
  <c r="P295" i="33"/>
  <c r="P294" i="33"/>
  <c r="P293" i="33"/>
  <c r="P292" i="33"/>
  <c r="P291" i="33"/>
  <c r="P290" i="33"/>
  <c r="P289" i="33"/>
  <c r="P288" i="33"/>
  <c r="P287" i="33"/>
  <c r="P286" i="33"/>
  <c r="P285" i="33"/>
  <c r="P284" i="33"/>
  <c r="P283" i="33"/>
  <c r="P282" i="33"/>
  <c r="P281" i="33"/>
  <c r="P280" i="33"/>
  <c r="P279" i="33"/>
  <c r="P278" i="33"/>
  <c r="P277" i="33"/>
  <c r="P276" i="33"/>
  <c r="P275" i="33"/>
  <c r="P274" i="33"/>
  <c r="P273" i="33"/>
  <c r="P272" i="33"/>
  <c r="P271" i="33"/>
  <c r="P270" i="33"/>
  <c r="P269" i="33"/>
  <c r="P268" i="33"/>
  <c r="P267" i="33"/>
  <c r="P266" i="33"/>
  <c r="P265" i="33"/>
  <c r="P264" i="33"/>
  <c r="P263" i="33"/>
  <c r="P262" i="33"/>
  <c r="P261" i="33"/>
  <c r="P260" i="33"/>
  <c r="P259" i="33"/>
  <c r="P258" i="33"/>
  <c r="P257" i="33"/>
  <c r="P256" i="33"/>
  <c r="P255" i="33"/>
  <c r="P254" i="33"/>
  <c r="P253" i="33"/>
  <c r="P252" i="33"/>
  <c r="P251" i="33"/>
  <c r="P250" i="33"/>
  <c r="P249" i="33"/>
  <c r="P248" i="33"/>
  <c r="P247" i="33"/>
  <c r="P246" i="33"/>
  <c r="P245" i="33"/>
  <c r="P244" i="33"/>
  <c r="P243" i="33"/>
  <c r="P242" i="33"/>
  <c r="P241" i="33"/>
  <c r="P240" i="33"/>
  <c r="P239" i="33"/>
  <c r="P238" i="33"/>
  <c r="P237" i="33"/>
  <c r="P236" i="33"/>
  <c r="P235" i="33"/>
  <c r="P234" i="33"/>
  <c r="P233" i="33"/>
  <c r="P232" i="33"/>
  <c r="P231" i="33"/>
  <c r="P230" i="33"/>
  <c r="P229" i="33"/>
  <c r="P228" i="33"/>
  <c r="P227" i="33"/>
  <c r="P226" i="33"/>
  <c r="P225" i="33"/>
  <c r="P224" i="33"/>
  <c r="P223" i="33"/>
  <c r="P222" i="33"/>
  <c r="P221" i="33"/>
  <c r="P220" i="33"/>
  <c r="P219" i="33"/>
  <c r="P218" i="33"/>
  <c r="P217" i="33"/>
  <c r="P216" i="33"/>
  <c r="P215" i="33"/>
  <c r="P214" i="33"/>
  <c r="P213" i="33"/>
  <c r="P212" i="33"/>
  <c r="P211" i="33"/>
  <c r="P210" i="33"/>
  <c r="P209" i="33"/>
  <c r="P208" i="33"/>
  <c r="P207" i="33"/>
  <c r="P206" i="33"/>
  <c r="P205" i="33"/>
  <c r="P204" i="33"/>
  <c r="P203" i="33"/>
  <c r="P202" i="33"/>
  <c r="P201" i="33"/>
  <c r="P200" i="33"/>
  <c r="P199" i="33"/>
  <c r="P198" i="33"/>
  <c r="P197" i="33"/>
  <c r="P196" i="33"/>
  <c r="P195" i="33"/>
  <c r="P194" i="33"/>
  <c r="P193" i="33"/>
  <c r="P192" i="33"/>
  <c r="P191" i="33"/>
  <c r="P190" i="33"/>
  <c r="P189" i="33"/>
  <c r="P188" i="33"/>
  <c r="P187" i="33"/>
  <c r="P186" i="33"/>
  <c r="P185" i="33"/>
  <c r="P184" i="33"/>
  <c r="P183" i="33"/>
  <c r="P182" i="33"/>
  <c r="P181" i="33"/>
  <c r="P180" i="33"/>
  <c r="P179" i="33"/>
  <c r="P178" i="33"/>
  <c r="P177" i="33"/>
  <c r="P176" i="33"/>
  <c r="P175" i="33"/>
  <c r="P174" i="33"/>
  <c r="P173" i="33"/>
  <c r="P172" i="33"/>
  <c r="P171" i="33"/>
  <c r="P170" i="33"/>
  <c r="P169" i="33"/>
  <c r="P168" i="33"/>
  <c r="P167" i="33"/>
  <c r="P166" i="33"/>
  <c r="P165" i="33"/>
  <c r="P164" i="33"/>
  <c r="P163" i="33"/>
  <c r="P162" i="33"/>
  <c r="P161" i="33"/>
  <c r="P160" i="33"/>
  <c r="P159" i="33"/>
  <c r="P158" i="33"/>
  <c r="P157" i="33"/>
  <c r="P156" i="33"/>
  <c r="P155" i="33"/>
  <c r="P154" i="33"/>
  <c r="P153" i="33"/>
  <c r="P152" i="33"/>
  <c r="P151" i="33"/>
  <c r="P150" i="33"/>
  <c r="P149" i="33"/>
  <c r="P148" i="33"/>
  <c r="P147" i="33"/>
  <c r="P146" i="33"/>
  <c r="P145" i="33"/>
  <c r="P144" i="33"/>
  <c r="P143" i="33"/>
  <c r="P142" i="33"/>
  <c r="P141" i="33"/>
  <c r="P140" i="33"/>
  <c r="P139" i="33"/>
  <c r="P138" i="33"/>
  <c r="P137" i="33"/>
  <c r="P136" i="33"/>
  <c r="P135" i="33"/>
  <c r="P134" i="33"/>
  <c r="P133" i="33"/>
  <c r="P132" i="33"/>
  <c r="P131" i="33"/>
  <c r="P130" i="33"/>
  <c r="P129" i="33"/>
  <c r="P128" i="33"/>
  <c r="P127" i="33"/>
  <c r="P126" i="33"/>
  <c r="P125" i="33"/>
  <c r="P124" i="33"/>
  <c r="P123" i="33"/>
  <c r="P122" i="33"/>
  <c r="P121" i="33"/>
  <c r="P120" i="33"/>
  <c r="P119" i="33"/>
  <c r="P118" i="33"/>
  <c r="P117" i="33"/>
  <c r="P116" i="33"/>
  <c r="P115" i="33"/>
  <c r="P114" i="33"/>
  <c r="P113" i="33"/>
  <c r="P112" i="33"/>
  <c r="P111" i="33"/>
  <c r="P110" i="33"/>
  <c r="P109" i="33"/>
  <c r="P108" i="33"/>
  <c r="P107" i="33"/>
  <c r="P106" i="33"/>
  <c r="P105" i="33"/>
  <c r="P104" i="33"/>
  <c r="P103" i="33"/>
  <c r="P102" i="33"/>
  <c r="P101" i="33"/>
  <c r="P100" i="33"/>
  <c r="P99" i="33"/>
  <c r="P98" i="33"/>
  <c r="P97" i="33"/>
  <c r="P96" i="33"/>
  <c r="P95" i="33"/>
  <c r="P94" i="33"/>
  <c r="P93" i="33"/>
  <c r="P92" i="33"/>
  <c r="P91" i="33"/>
  <c r="P90" i="33"/>
  <c r="P89" i="33"/>
  <c r="P88" i="33"/>
  <c r="P87" i="33"/>
  <c r="P86" i="33"/>
  <c r="P85" i="33"/>
  <c r="P84" i="33"/>
  <c r="P83" i="33"/>
  <c r="P82" i="33"/>
  <c r="P81" i="33"/>
  <c r="P80" i="33"/>
  <c r="P79" i="33"/>
  <c r="P78" i="33"/>
  <c r="P77" i="33"/>
  <c r="P76" i="33"/>
  <c r="P75" i="33"/>
  <c r="P74" i="33"/>
  <c r="P73" i="33"/>
  <c r="P72" i="33"/>
  <c r="P71" i="33"/>
  <c r="P70" i="33"/>
  <c r="P69" i="33"/>
  <c r="P68" i="33"/>
  <c r="P67" i="33"/>
  <c r="P66" i="33"/>
  <c r="P65" i="33"/>
  <c r="P64" i="33"/>
  <c r="P63" i="33"/>
  <c r="P62" i="33"/>
  <c r="P61" i="33"/>
  <c r="P60" i="33"/>
  <c r="P59" i="33"/>
  <c r="P58" i="33"/>
  <c r="P57" i="33"/>
  <c r="P56" i="33"/>
  <c r="P55" i="33"/>
  <c r="P54" i="33"/>
  <c r="P53" i="33"/>
  <c r="P52" i="33"/>
  <c r="P51" i="33"/>
  <c r="P50" i="33"/>
  <c r="P49" i="33"/>
  <c r="P48" i="33"/>
  <c r="P47" i="33"/>
  <c r="P46" i="33"/>
  <c r="P45" i="33"/>
  <c r="P44" i="33"/>
  <c r="P43" i="33"/>
  <c r="P42" i="33"/>
  <c r="P41" i="33"/>
  <c r="P40" i="33"/>
  <c r="P39" i="33"/>
  <c r="P38" i="33"/>
  <c r="P37" i="33"/>
  <c r="P36" i="33"/>
  <c r="P35" i="33"/>
  <c r="P34" i="33"/>
  <c r="P33" i="33"/>
  <c r="P32" i="33"/>
  <c r="P31" i="33"/>
  <c r="P30" i="33"/>
  <c r="P29" i="33"/>
  <c r="P28" i="33"/>
  <c r="P27" i="33"/>
  <c r="P26" i="33"/>
  <c r="P25" i="33"/>
  <c r="P24" i="33"/>
  <c r="P23" i="33"/>
  <c r="P22" i="33"/>
  <c r="P21" i="33"/>
  <c r="P20" i="33"/>
  <c r="P19" i="33"/>
  <c r="P18" i="33"/>
  <c r="P17" i="33"/>
  <c r="P16" i="33"/>
  <c r="P15" i="33"/>
  <c r="P14" i="33"/>
  <c r="P13" i="33"/>
  <c r="P12" i="33"/>
  <c r="P11" i="33"/>
  <c r="P10" i="33"/>
  <c r="P9" i="33"/>
  <c r="P8" i="33"/>
  <c r="P7" i="33"/>
  <c r="P6" i="33"/>
  <c r="P5" i="33"/>
  <c r="P4" i="33"/>
  <c r="P3" i="33"/>
  <c r="S363" i="33"/>
  <c r="AC20" i="25"/>
  <c r="AC25" i="25"/>
  <c r="AC24" i="25"/>
  <c r="AG20" i="25"/>
  <c r="AG25" i="25"/>
  <c r="AG24" i="25"/>
  <c r="AE20" i="25"/>
  <c r="AE25" i="25"/>
  <c r="AE24" i="25"/>
  <c r="AK183" i="25"/>
  <c r="AK184" i="25"/>
  <c r="AB19" i="25"/>
  <c r="AV193" i="25"/>
  <c r="AV194" i="25"/>
  <c r="AB21" i="25"/>
  <c r="AB23" i="25"/>
  <c r="BE202" i="25"/>
  <c r="BE203" i="25"/>
  <c r="AB22" i="25"/>
  <c r="F105" i="16"/>
  <c r="F104" i="16"/>
  <c r="F103" i="16"/>
  <c r="F102" i="16"/>
  <c r="F101" i="16"/>
  <c r="AM183" i="25"/>
  <c r="AM184" i="25"/>
  <c r="AD19" i="25"/>
  <c r="AX193" i="25"/>
  <c r="AX194" i="25"/>
  <c r="AD21" i="25"/>
  <c r="AD23" i="25"/>
  <c r="BG202" i="25"/>
  <c r="BG203" i="25"/>
  <c r="AD22" i="25"/>
  <c r="AQ183" i="25"/>
  <c r="AQ184" i="25"/>
  <c r="AH19" i="25"/>
  <c r="BB193" i="25"/>
  <c r="BB194" i="25"/>
  <c r="AH21" i="25"/>
  <c r="AH23" i="25"/>
  <c r="BK202" i="25"/>
  <c r="BK203" i="25"/>
  <c r="AH22" i="25"/>
  <c r="V36" i="26"/>
  <c r="U35" i="26"/>
  <c r="R84" i="26"/>
  <c r="Q83" i="26"/>
  <c r="T28" i="26"/>
  <c r="V30" i="26"/>
  <c r="U31" i="26"/>
  <c r="I103" i="16"/>
  <c r="I102" i="16"/>
  <c r="I101" i="16"/>
  <c r="I100" i="16"/>
  <c r="V84" i="26"/>
  <c r="U83" i="26"/>
  <c r="R30" i="26"/>
  <c r="Q31" i="26"/>
  <c r="R36" i="26"/>
  <c r="Q35" i="26"/>
  <c r="R362" i="33"/>
  <c r="R361" i="33"/>
  <c r="R360" i="33"/>
  <c r="R359" i="33"/>
  <c r="R358" i="33"/>
  <c r="R357" i="33"/>
  <c r="R356" i="33"/>
  <c r="R355" i="33"/>
  <c r="R354" i="33"/>
  <c r="R353" i="33"/>
  <c r="R352" i="33"/>
  <c r="R351" i="33"/>
  <c r="R350" i="33"/>
  <c r="R349" i="33"/>
  <c r="R348" i="33"/>
  <c r="R347" i="33"/>
  <c r="R346" i="33"/>
  <c r="R345" i="33"/>
  <c r="R344" i="33"/>
  <c r="R343" i="33"/>
  <c r="R342" i="33"/>
  <c r="R341" i="33"/>
  <c r="R340" i="33"/>
  <c r="R339" i="33"/>
  <c r="R338" i="33"/>
  <c r="R337" i="33"/>
  <c r="R336" i="33"/>
  <c r="R335" i="33"/>
  <c r="R334" i="33"/>
  <c r="R333" i="33"/>
  <c r="R332" i="33"/>
  <c r="R331" i="33"/>
  <c r="R330" i="33"/>
  <c r="R329" i="33"/>
  <c r="R328" i="33"/>
  <c r="R327" i="33"/>
  <c r="R326" i="33"/>
  <c r="R325" i="33"/>
  <c r="R324" i="33"/>
  <c r="R323" i="33"/>
  <c r="R322" i="33"/>
  <c r="R321" i="33"/>
  <c r="R320" i="33"/>
  <c r="R319" i="33"/>
  <c r="R318" i="33"/>
  <c r="R317" i="33"/>
  <c r="R316" i="33"/>
  <c r="R315" i="33"/>
  <c r="R314" i="33"/>
  <c r="R313" i="33"/>
  <c r="R312" i="33"/>
  <c r="R311" i="33"/>
  <c r="R310" i="33"/>
  <c r="R309" i="33"/>
  <c r="R308" i="33"/>
  <c r="R307" i="33"/>
  <c r="R306" i="33"/>
  <c r="R305" i="33"/>
  <c r="R304" i="33"/>
  <c r="R303" i="33"/>
  <c r="R302" i="33"/>
  <c r="R301" i="33"/>
  <c r="R300" i="33"/>
  <c r="R299" i="33"/>
  <c r="R298" i="33"/>
  <c r="R297" i="33"/>
  <c r="R296" i="33"/>
  <c r="R295" i="33"/>
  <c r="R294" i="33"/>
  <c r="R293" i="33"/>
  <c r="R292" i="33"/>
  <c r="R291" i="33"/>
  <c r="R290" i="33"/>
  <c r="R289" i="33"/>
  <c r="R288" i="33"/>
  <c r="R287" i="33"/>
  <c r="R286" i="33"/>
  <c r="R285" i="33"/>
  <c r="R284" i="33"/>
  <c r="R283" i="33"/>
  <c r="R282" i="33"/>
  <c r="R281" i="33"/>
  <c r="R280" i="33"/>
  <c r="R279" i="33"/>
  <c r="R278" i="33"/>
  <c r="R277" i="33"/>
  <c r="R276" i="33"/>
  <c r="R275" i="33"/>
  <c r="R274" i="33"/>
  <c r="R273" i="33"/>
  <c r="R272" i="33"/>
  <c r="R271" i="33"/>
  <c r="R270" i="33"/>
  <c r="R269" i="33"/>
  <c r="R268" i="33"/>
  <c r="R267" i="33"/>
  <c r="R266" i="33"/>
  <c r="R265" i="33"/>
  <c r="R264" i="33"/>
  <c r="R263" i="33"/>
  <c r="R262" i="33"/>
  <c r="R261" i="33"/>
  <c r="R260" i="33"/>
  <c r="R259" i="33"/>
  <c r="R258" i="33"/>
  <c r="R257" i="33"/>
  <c r="R256" i="33"/>
  <c r="R255" i="33"/>
  <c r="R254" i="33"/>
  <c r="R253" i="33"/>
  <c r="R252" i="33"/>
  <c r="R251" i="33"/>
  <c r="R250" i="33"/>
  <c r="R249" i="33"/>
  <c r="R248" i="33"/>
  <c r="R247" i="33"/>
  <c r="R246" i="33"/>
  <c r="R245" i="33"/>
  <c r="R244" i="33"/>
  <c r="R243" i="33"/>
  <c r="R242" i="33"/>
  <c r="R241" i="33"/>
  <c r="R240" i="33"/>
  <c r="R239" i="33"/>
  <c r="R238" i="33"/>
  <c r="R237" i="33"/>
  <c r="R236" i="33"/>
  <c r="R235" i="33"/>
  <c r="R234" i="33"/>
  <c r="R233" i="33"/>
  <c r="R232" i="33"/>
  <c r="R231" i="33"/>
  <c r="R230" i="33"/>
  <c r="R229" i="33"/>
  <c r="R228" i="33"/>
  <c r="R227" i="33"/>
  <c r="R226" i="33"/>
  <c r="R225" i="33"/>
  <c r="R224" i="33"/>
  <c r="R223" i="33"/>
  <c r="R222" i="33"/>
  <c r="R221" i="33"/>
  <c r="R220" i="33"/>
  <c r="R219" i="33"/>
  <c r="R218" i="33"/>
  <c r="R217" i="33"/>
  <c r="R216" i="33"/>
  <c r="R215" i="33"/>
  <c r="R214" i="33"/>
  <c r="R213" i="33"/>
  <c r="R212" i="33"/>
  <c r="R211" i="33"/>
  <c r="R210" i="33"/>
  <c r="R209" i="33"/>
  <c r="R208" i="33"/>
  <c r="R207" i="33"/>
  <c r="R206" i="33"/>
  <c r="R205" i="33"/>
  <c r="R204" i="33"/>
  <c r="R203" i="33"/>
  <c r="R202" i="33"/>
  <c r="R201" i="33"/>
  <c r="R200" i="33"/>
  <c r="R199" i="33"/>
  <c r="R198" i="33"/>
  <c r="R197" i="33"/>
  <c r="R196" i="33"/>
  <c r="R195" i="33"/>
  <c r="R194" i="33"/>
  <c r="R193" i="33"/>
  <c r="R192" i="33"/>
  <c r="R191" i="33"/>
  <c r="R190" i="33"/>
  <c r="R189" i="33"/>
  <c r="R188" i="33"/>
  <c r="R187" i="33"/>
  <c r="R186" i="33"/>
  <c r="R185" i="33"/>
  <c r="R184" i="33"/>
  <c r="R183" i="33"/>
  <c r="R182" i="33"/>
  <c r="R181" i="33"/>
  <c r="R180" i="33"/>
  <c r="R179" i="33"/>
  <c r="R178" i="33"/>
  <c r="R177" i="33"/>
  <c r="R176" i="33"/>
  <c r="R175" i="33"/>
  <c r="R174" i="33"/>
  <c r="R173" i="33"/>
  <c r="R172" i="33"/>
  <c r="R171" i="33"/>
  <c r="R170" i="33"/>
  <c r="R169" i="33"/>
  <c r="R168" i="33"/>
  <c r="R167" i="33"/>
  <c r="R166" i="33"/>
  <c r="R165" i="33"/>
  <c r="R164" i="33"/>
  <c r="R163" i="33"/>
  <c r="R162" i="33"/>
  <c r="R161" i="33"/>
  <c r="R160" i="33"/>
  <c r="R159" i="33"/>
  <c r="R158" i="33"/>
  <c r="R157" i="33"/>
  <c r="R156" i="33"/>
  <c r="R155" i="33"/>
  <c r="R154" i="33"/>
  <c r="R153" i="33"/>
  <c r="R152" i="33"/>
  <c r="R151" i="33"/>
  <c r="R150" i="33"/>
  <c r="R149" i="33"/>
  <c r="R148" i="33"/>
  <c r="R147" i="33"/>
  <c r="R146" i="33"/>
  <c r="R145" i="33"/>
  <c r="R144" i="33"/>
  <c r="R143" i="33"/>
  <c r="R142" i="33"/>
  <c r="R141" i="33"/>
  <c r="R140" i="33"/>
  <c r="R139" i="33"/>
  <c r="R138" i="33"/>
  <c r="R137" i="33"/>
  <c r="R136" i="33"/>
  <c r="R135" i="33"/>
  <c r="R134" i="33"/>
  <c r="R133" i="33"/>
  <c r="R132" i="33"/>
  <c r="R131" i="33"/>
  <c r="R130" i="33"/>
  <c r="R129" i="33"/>
  <c r="R128" i="33"/>
  <c r="R127" i="33"/>
  <c r="R126" i="33"/>
  <c r="R125" i="33"/>
  <c r="R124" i="33"/>
  <c r="R123" i="33"/>
  <c r="R122" i="33"/>
  <c r="R121" i="33"/>
  <c r="R120" i="33"/>
  <c r="R119" i="33"/>
  <c r="R118" i="33"/>
  <c r="R117" i="33"/>
  <c r="R116" i="33"/>
  <c r="R115" i="33"/>
  <c r="R114" i="33"/>
  <c r="R113" i="33"/>
  <c r="R112" i="33"/>
  <c r="R111" i="33"/>
  <c r="R110" i="33"/>
  <c r="R109" i="33"/>
  <c r="R108" i="33"/>
  <c r="R107" i="33"/>
  <c r="R106" i="33"/>
  <c r="R105" i="33"/>
  <c r="R104" i="33"/>
  <c r="R103" i="33"/>
  <c r="R102" i="33"/>
  <c r="R101" i="33"/>
  <c r="R100" i="33"/>
  <c r="R99" i="33"/>
  <c r="R98" i="33"/>
  <c r="R97" i="33"/>
  <c r="R96" i="33"/>
  <c r="R95" i="33"/>
  <c r="R94" i="33"/>
  <c r="R93" i="33"/>
  <c r="R92" i="33"/>
  <c r="R91" i="33"/>
  <c r="R90" i="33"/>
  <c r="R89" i="33"/>
  <c r="R88" i="33"/>
  <c r="R87" i="33"/>
  <c r="R86" i="33"/>
  <c r="R85" i="33"/>
  <c r="R84" i="33"/>
  <c r="R83" i="33"/>
  <c r="R82" i="33"/>
  <c r="R81" i="33"/>
  <c r="R80" i="33"/>
  <c r="R79" i="33"/>
  <c r="R78" i="33"/>
  <c r="R77" i="33"/>
  <c r="R76" i="33"/>
  <c r="R75" i="33"/>
  <c r="R74" i="33"/>
  <c r="R73" i="33"/>
  <c r="R72" i="33"/>
  <c r="R71" i="33"/>
  <c r="R70" i="33"/>
  <c r="R69" i="33"/>
  <c r="R68" i="33"/>
  <c r="R67" i="33"/>
  <c r="R66" i="33"/>
  <c r="R65" i="33"/>
  <c r="R64" i="33"/>
  <c r="R63" i="33"/>
  <c r="R62" i="33"/>
  <c r="R61" i="33"/>
  <c r="R60" i="33"/>
  <c r="R59" i="33"/>
  <c r="R58" i="33"/>
  <c r="R57" i="33"/>
  <c r="R56" i="33"/>
  <c r="R55" i="33"/>
  <c r="R54" i="33"/>
  <c r="R53" i="33"/>
  <c r="R52" i="33"/>
  <c r="R51" i="33"/>
  <c r="R50" i="33"/>
  <c r="R49" i="33"/>
  <c r="R48" i="33"/>
  <c r="R47" i="33"/>
  <c r="R46" i="33"/>
  <c r="R45" i="33"/>
  <c r="R44" i="33"/>
  <c r="R43" i="33"/>
  <c r="R42" i="33"/>
  <c r="R41" i="33"/>
  <c r="R40" i="33"/>
  <c r="R39" i="33"/>
  <c r="R38" i="33"/>
  <c r="R37" i="33"/>
  <c r="R36" i="33"/>
  <c r="R35" i="33"/>
  <c r="R34" i="33"/>
  <c r="R33" i="33"/>
  <c r="R32" i="33"/>
  <c r="R31" i="33"/>
  <c r="R30" i="33"/>
  <c r="R29" i="33"/>
  <c r="R28" i="33"/>
  <c r="R27" i="33"/>
  <c r="R26" i="33"/>
  <c r="R25" i="33"/>
  <c r="R24" i="33"/>
  <c r="R23" i="33"/>
  <c r="R22" i="33"/>
  <c r="R21" i="33"/>
  <c r="R20" i="33"/>
  <c r="R19" i="33"/>
  <c r="R18" i="33"/>
  <c r="R17" i="33"/>
  <c r="R16" i="33"/>
  <c r="R15" i="33"/>
  <c r="R14" i="33"/>
  <c r="R13" i="33"/>
  <c r="R12" i="33"/>
  <c r="R11" i="33"/>
  <c r="R10" i="33"/>
  <c r="R9" i="33"/>
  <c r="R8" i="33"/>
  <c r="R7" i="33"/>
  <c r="R6" i="33"/>
  <c r="R5" i="33"/>
  <c r="R4" i="33"/>
  <c r="R3" i="33"/>
  <c r="U363" i="33"/>
  <c r="AA20" i="25"/>
  <c r="AA25" i="25"/>
  <c r="AA24" i="25"/>
  <c r="U362" i="33"/>
  <c r="U361" i="33"/>
  <c r="U360" i="33"/>
  <c r="U359" i="33"/>
  <c r="U358" i="33"/>
  <c r="U357" i="33"/>
  <c r="U356" i="33"/>
  <c r="U355" i="33"/>
  <c r="U354" i="33"/>
  <c r="U353" i="33"/>
  <c r="U352" i="33"/>
  <c r="U351" i="33"/>
  <c r="U350" i="33"/>
  <c r="U349" i="33"/>
  <c r="U348" i="33"/>
  <c r="U347" i="33"/>
  <c r="U346" i="33"/>
  <c r="U345" i="33"/>
  <c r="U344" i="33"/>
  <c r="U343" i="33"/>
  <c r="U342" i="33"/>
  <c r="U341" i="33"/>
  <c r="U340" i="33"/>
  <c r="U339" i="33"/>
  <c r="U338" i="33"/>
  <c r="U337" i="33"/>
  <c r="U336" i="33"/>
  <c r="U335" i="33"/>
  <c r="U334" i="33"/>
  <c r="U333" i="33"/>
  <c r="U332" i="33"/>
  <c r="U331" i="33"/>
  <c r="U330" i="33"/>
  <c r="U329" i="33"/>
  <c r="U328" i="33"/>
  <c r="U327" i="33"/>
  <c r="U326" i="33"/>
  <c r="U325" i="33"/>
  <c r="U324" i="33"/>
  <c r="U323" i="33"/>
  <c r="U322" i="33"/>
  <c r="U321" i="33"/>
  <c r="U320" i="33"/>
  <c r="U319" i="33"/>
  <c r="U318" i="33"/>
  <c r="U317" i="33"/>
  <c r="U316" i="33"/>
  <c r="U315" i="33"/>
  <c r="U314" i="33"/>
  <c r="U313" i="33"/>
  <c r="U312" i="33"/>
  <c r="U311" i="33"/>
  <c r="U310" i="33"/>
  <c r="U309" i="33"/>
  <c r="U308" i="33"/>
  <c r="U307" i="33"/>
  <c r="U306" i="33"/>
  <c r="U305" i="33"/>
  <c r="U304" i="33"/>
  <c r="U303" i="33"/>
  <c r="U302" i="33"/>
  <c r="U301" i="33"/>
  <c r="U300" i="33"/>
  <c r="U299" i="33"/>
  <c r="U298" i="33"/>
  <c r="U297" i="33"/>
  <c r="U296" i="33"/>
  <c r="U295" i="33"/>
  <c r="U294" i="33"/>
  <c r="U293" i="33"/>
  <c r="U292" i="33"/>
  <c r="U291" i="33"/>
  <c r="U290" i="33"/>
  <c r="U289" i="33"/>
  <c r="U288" i="33"/>
  <c r="U287" i="33"/>
  <c r="U286" i="33"/>
  <c r="U285" i="33"/>
  <c r="U284" i="33"/>
  <c r="U283" i="33"/>
  <c r="U282" i="33"/>
  <c r="U281" i="33"/>
  <c r="U280" i="33"/>
  <c r="U279" i="33"/>
  <c r="U278" i="33"/>
  <c r="U277" i="33"/>
  <c r="U276" i="33"/>
  <c r="U275" i="33"/>
  <c r="U274" i="33"/>
  <c r="U273" i="33"/>
  <c r="U272" i="33"/>
  <c r="U271" i="33"/>
  <c r="U270" i="33"/>
  <c r="U269" i="33"/>
  <c r="U268" i="33"/>
  <c r="U267" i="33"/>
  <c r="U266" i="33"/>
  <c r="U265" i="33"/>
  <c r="U264" i="33"/>
  <c r="U263" i="33"/>
  <c r="U262" i="33"/>
  <c r="U261" i="33"/>
  <c r="U260" i="33"/>
  <c r="U259" i="33"/>
  <c r="U258" i="33"/>
  <c r="U257" i="33"/>
  <c r="U256" i="33"/>
  <c r="U255" i="33"/>
  <c r="U254" i="33"/>
  <c r="U253" i="33"/>
  <c r="U252" i="33"/>
  <c r="U251" i="33"/>
  <c r="U250" i="33"/>
  <c r="U249" i="33"/>
  <c r="U248" i="33"/>
  <c r="U247" i="33"/>
  <c r="U246" i="33"/>
  <c r="U245" i="33"/>
  <c r="U244" i="33"/>
  <c r="U243" i="33"/>
  <c r="U242" i="33"/>
  <c r="U241" i="33"/>
  <c r="U240" i="33"/>
  <c r="U239" i="33"/>
  <c r="U238" i="33"/>
  <c r="U237" i="33"/>
  <c r="U236" i="33"/>
  <c r="U235" i="33"/>
  <c r="U234" i="33"/>
  <c r="U233" i="33"/>
  <c r="U232" i="33"/>
  <c r="U231" i="33"/>
  <c r="U230" i="33"/>
  <c r="U229" i="33"/>
  <c r="U228" i="33"/>
  <c r="U227" i="33"/>
  <c r="U226" i="33"/>
  <c r="U225" i="33"/>
  <c r="U224" i="33"/>
  <c r="U223" i="33"/>
  <c r="U222" i="33"/>
  <c r="U221" i="33"/>
  <c r="U220" i="33"/>
  <c r="U219" i="33"/>
  <c r="U218" i="33"/>
  <c r="U217" i="33"/>
  <c r="U216" i="33"/>
  <c r="U215" i="33"/>
  <c r="U214" i="33"/>
  <c r="U213" i="33"/>
  <c r="U212" i="33"/>
  <c r="U211" i="33"/>
  <c r="U210" i="33"/>
  <c r="U209" i="33"/>
  <c r="U208" i="33"/>
  <c r="U207" i="33"/>
  <c r="U206" i="33"/>
  <c r="U205" i="33"/>
  <c r="U204" i="33"/>
  <c r="U203" i="33"/>
  <c r="U202" i="33"/>
  <c r="U201" i="33"/>
  <c r="U200" i="33"/>
  <c r="U199" i="33"/>
  <c r="U198" i="33"/>
  <c r="U197" i="33"/>
  <c r="U196" i="33"/>
  <c r="U195" i="33"/>
  <c r="U194" i="33"/>
  <c r="U193" i="33"/>
  <c r="U192" i="33"/>
  <c r="U191" i="33"/>
  <c r="U190" i="33"/>
  <c r="U189" i="33"/>
  <c r="U188" i="33"/>
  <c r="U187" i="33"/>
  <c r="U186" i="33"/>
  <c r="U185" i="33"/>
  <c r="U184" i="33"/>
  <c r="U183" i="33"/>
  <c r="U182" i="33"/>
  <c r="U181" i="33"/>
  <c r="U180" i="33"/>
  <c r="U179" i="33"/>
  <c r="U178" i="33"/>
  <c r="U177" i="33"/>
  <c r="U176" i="33"/>
  <c r="U175" i="33"/>
  <c r="U174" i="33"/>
  <c r="U173" i="33"/>
  <c r="U172" i="33"/>
  <c r="U171" i="33"/>
  <c r="U170" i="33"/>
  <c r="U169" i="33"/>
  <c r="U168" i="33"/>
  <c r="U167" i="33"/>
  <c r="U166" i="33"/>
  <c r="U165" i="33"/>
  <c r="U164" i="33"/>
  <c r="U163" i="33"/>
  <c r="U162" i="33"/>
  <c r="U161" i="33"/>
  <c r="U160" i="33"/>
  <c r="U159" i="33"/>
  <c r="U158" i="33"/>
  <c r="U157" i="33"/>
  <c r="U156" i="33"/>
  <c r="U155" i="33"/>
  <c r="U154" i="33"/>
  <c r="U153" i="33"/>
  <c r="U152" i="33"/>
  <c r="U151" i="33"/>
  <c r="U150" i="33"/>
  <c r="U149" i="33"/>
  <c r="U148" i="33"/>
  <c r="U147" i="33"/>
  <c r="U146" i="33"/>
  <c r="U145" i="33"/>
  <c r="U144" i="33"/>
  <c r="U143" i="33"/>
  <c r="U142" i="33"/>
  <c r="U141" i="33"/>
  <c r="U140" i="33"/>
  <c r="U139" i="33"/>
  <c r="U138" i="33"/>
  <c r="U137" i="33"/>
  <c r="U136" i="33"/>
  <c r="U135" i="33"/>
  <c r="U134" i="33"/>
  <c r="U133" i="33"/>
  <c r="U132" i="33"/>
  <c r="U131" i="33"/>
  <c r="U130" i="33"/>
  <c r="U129" i="33"/>
  <c r="U128" i="33"/>
  <c r="U127" i="33"/>
  <c r="U126" i="33"/>
  <c r="U125" i="33"/>
  <c r="U124" i="33"/>
  <c r="U123" i="33"/>
  <c r="U122" i="33"/>
  <c r="U121" i="33"/>
  <c r="U120" i="33"/>
  <c r="U119" i="33"/>
  <c r="U118" i="33"/>
  <c r="U117" i="33"/>
  <c r="U116" i="33"/>
  <c r="U115" i="33"/>
  <c r="U114" i="33"/>
  <c r="U113" i="33"/>
  <c r="U112" i="33"/>
  <c r="U111" i="33"/>
  <c r="U110" i="33"/>
  <c r="U109" i="33"/>
  <c r="U108" i="33"/>
  <c r="U107" i="33"/>
  <c r="U106" i="33"/>
  <c r="U105" i="33"/>
  <c r="U104" i="33"/>
  <c r="U103" i="33"/>
  <c r="U102" i="33"/>
  <c r="U101" i="33"/>
  <c r="U100" i="33"/>
  <c r="U99" i="33"/>
  <c r="U98" i="33"/>
  <c r="U97" i="33"/>
  <c r="U96" i="33"/>
  <c r="U95" i="33"/>
  <c r="U94" i="33"/>
  <c r="U93" i="33"/>
  <c r="U92" i="33"/>
  <c r="U91" i="33"/>
  <c r="U90" i="33"/>
  <c r="U89" i="33"/>
  <c r="U88" i="33"/>
  <c r="U87" i="33"/>
  <c r="U86" i="33"/>
  <c r="U85" i="33"/>
  <c r="U84" i="33"/>
  <c r="U83" i="33"/>
  <c r="U82" i="33"/>
  <c r="U81" i="33"/>
  <c r="U80" i="33"/>
  <c r="U79" i="33"/>
  <c r="U78" i="33"/>
  <c r="U77" i="33"/>
  <c r="U76" i="33"/>
  <c r="U75" i="33"/>
  <c r="U74" i="33"/>
  <c r="U73" i="33"/>
  <c r="U72" i="33"/>
  <c r="U71" i="33"/>
  <c r="U70" i="33"/>
  <c r="U69" i="33"/>
  <c r="U68" i="33"/>
  <c r="U67" i="33"/>
  <c r="U66" i="33"/>
  <c r="U65" i="33"/>
  <c r="U64" i="33"/>
  <c r="U63" i="33"/>
  <c r="U62" i="33"/>
  <c r="U61" i="33"/>
  <c r="U60" i="33"/>
  <c r="U59" i="33"/>
  <c r="U58" i="33"/>
  <c r="U57" i="33"/>
  <c r="U56" i="33"/>
  <c r="U55" i="33"/>
  <c r="U54" i="33"/>
  <c r="U53" i="33"/>
  <c r="U52" i="33"/>
  <c r="U51" i="33"/>
  <c r="U50" i="33"/>
  <c r="U49" i="33"/>
  <c r="U48" i="33"/>
  <c r="U47" i="33"/>
  <c r="U46" i="33"/>
  <c r="U45" i="33"/>
  <c r="U44" i="33"/>
  <c r="U43" i="33"/>
  <c r="U42" i="33"/>
  <c r="U41" i="33"/>
  <c r="U40" i="33"/>
  <c r="U39" i="33"/>
  <c r="U38" i="33"/>
  <c r="U37" i="33"/>
  <c r="U36" i="33"/>
  <c r="U35" i="33"/>
  <c r="U34" i="33"/>
  <c r="U33" i="33"/>
  <c r="U32" i="33"/>
  <c r="U31" i="33"/>
  <c r="U30" i="33"/>
  <c r="U29" i="33"/>
  <c r="U28" i="33"/>
  <c r="U27" i="33"/>
  <c r="U26" i="33"/>
  <c r="U25" i="33"/>
  <c r="U24" i="33"/>
  <c r="U23" i="33"/>
  <c r="U22" i="33"/>
  <c r="U21" i="33"/>
  <c r="U20" i="33"/>
  <c r="U19" i="33"/>
  <c r="U18" i="33"/>
  <c r="U17" i="33"/>
  <c r="U16" i="33"/>
  <c r="U15" i="33"/>
  <c r="U14" i="33"/>
  <c r="U13" i="33"/>
  <c r="U12" i="33"/>
  <c r="U11" i="33"/>
  <c r="U10" i="33"/>
  <c r="U9" i="33"/>
  <c r="U8" i="33"/>
  <c r="U7" i="33"/>
  <c r="U6" i="33"/>
  <c r="U5" i="33"/>
  <c r="U4" i="33"/>
  <c r="U3" i="33"/>
  <c r="X363" i="33"/>
  <c r="T27" i="26"/>
  <c r="R85" i="26"/>
  <c r="Q84" i="26"/>
  <c r="V37" i="26"/>
  <c r="U36" i="26"/>
  <c r="AH24" i="25"/>
  <c r="AH20" i="25"/>
  <c r="AH25" i="25"/>
  <c r="AE6" i="25"/>
  <c r="AE54" i="25"/>
  <c r="AE55" i="25"/>
  <c r="AE56" i="25"/>
  <c r="AE57" i="25"/>
  <c r="AE59" i="25"/>
  <c r="AE94" i="25"/>
  <c r="AE26" i="25"/>
  <c r="AE27" i="25"/>
  <c r="AG6" i="25"/>
  <c r="AG54" i="25"/>
  <c r="AG55" i="25"/>
  <c r="AG56" i="25"/>
  <c r="AG57" i="25"/>
  <c r="AG59" i="25"/>
  <c r="AG94" i="25"/>
  <c r="AG26" i="25"/>
  <c r="AG27" i="25"/>
  <c r="AC6" i="25"/>
  <c r="AC54" i="25"/>
  <c r="AC55" i="25"/>
  <c r="AC56" i="25"/>
  <c r="AC57" i="25"/>
  <c r="AC59" i="25"/>
  <c r="AC94" i="25"/>
  <c r="AC26" i="25"/>
  <c r="AC27" i="25"/>
  <c r="AA6" i="25"/>
  <c r="AA54" i="25"/>
  <c r="AA55" i="25"/>
  <c r="AA56" i="25"/>
  <c r="AA57" i="25"/>
  <c r="AA59" i="25"/>
  <c r="AA94" i="25"/>
  <c r="AA26" i="25"/>
  <c r="AA27" i="25"/>
  <c r="R37" i="26"/>
  <c r="Q36" i="26"/>
  <c r="R29" i="26"/>
  <c r="Q30" i="26"/>
  <c r="V85" i="26"/>
  <c r="U84" i="26"/>
  <c r="I99" i="16"/>
  <c r="I98" i="16"/>
  <c r="I97" i="16"/>
  <c r="I96" i="16"/>
  <c r="I95" i="16"/>
  <c r="I94" i="16"/>
  <c r="I93" i="16"/>
  <c r="AD20" i="25"/>
  <c r="AD25" i="25"/>
  <c r="AD24" i="25"/>
  <c r="F100" i="16"/>
  <c r="AB20" i="25"/>
  <c r="AB25" i="25"/>
  <c r="AB24" i="25"/>
  <c r="S362" i="33"/>
  <c r="S361" i="33"/>
  <c r="S360" i="33"/>
  <c r="S359" i="33"/>
  <c r="S358" i="33"/>
  <c r="S357" i="33"/>
  <c r="S356" i="33"/>
  <c r="S355" i="33"/>
  <c r="S354" i="33"/>
  <c r="S353" i="33"/>
  <c r="S352" i="33"/>
  <c r="S351" i="33"/>
  <c r="S350" i="33"/>
  <c r="S349" i="33"/>
  <c r="S348" i="33"/>
  <c r="S347" i="33"/>
  <c r="S346" i="33"/>
  <c r="S345" i="33"/>
  <c r="S344" i="33"/>
  <c r="S343" i="33"/>
  <c r="S342" i="33"/>
  <c r="S341" i="33"/>
  <c r="S340" i="33"/>
  <c r="S339" i="33"/>
  <c r="S338" i="33"/>
  <c r="S337" i="33"/>
  <c r="S336" i="33"/>
  <c r="S335" i="33"/>
  <c r="S334" i="33"/>
  <c r="S333" i="33"/>
  <c r="S332" i="33"/>
  <c r="S331" i="33"/>
  <c r="S330" i="33"/>
  <c r="S329" i="33"/>
  <c r="S328" i="33"/>
  <c r="S327" i="33"/>
  <c r="S326" i="33"/>
  <c r="S325" i="33"/>
  <c r="S324" i="33"/>
  <c r="S323" i="33"/>
  <c r="S322" i="33"/>
  <c r="S321" i="33"/>
  <c r="S320" i="33"/>
  <c r="S319" i="33"/>
  <c r="S318" i="33"/>
  <c r="S317" i="33"/>
  <c r="S316" i="33"/>
  <c r="S315" i="33"/>
  <c r="S314" i="33"/>
  <c r="S313" i="33"/>
  <c r="S312" i="33"/>
  <c r="S311" i="33"/>
  <c r="S310" i="33"/>
  <c r="S309" i="33"/>
  <c r="S308" i="33"/>
  <c r="S307" i="33"/>
  <c r="S306" i="33"/>
  <c r="S305" i="33"/>
  <c r="S304" i="33"/>
  <c r="S303" i="33"/>
  <c r="S302" i="33"/>
  <c r="S301" i="33"/>
  <c r="S300" i="33"/>
  <c r="S299" i="33"/>
  <c r="S298" i="33"/>
  <c r="S297" i="33"/>
  <c r="S296" i="33"/>
  <c r="S295" i="33"/>
  <c r="S294" i="33"/>
  <c r="S293" i="33"/>
  <c r="S292" i="33"/>
  <c r="S291" i="33"/>
  <c r="S290" i="33"/>
  <c r="S289" i="33"/>
  <c r="S288" i="33"/>
  <c r="S287" i="33"/>
  <c r="S286" i="33"/>
  <c r="S285" i="33"/>
  <c r="S284" i="33"/>
  <c r="S283" i="33"/>
  <c r="S282" i="33"/>
  <c r="S281" i="33"/>
  <c r="S280" i="33"/>
  <c r="S279" i="33"/>
  <c r="S278" i="33"/>
  <c r="S277" i="33"/>
  <c r="S276" i="33"/>
  <c r="S275" i="33"/>
  <c r="S274" i="33"/>
  <c r="S273" i="33"/>
  <c r="S272" i="33"/>
  <c r="S271" i="33"/>
  <c r="S270" i="33"/>
  <c r="S269" i="33"/>
  <c r="S268" i="33"/>
  <c r="S267" i="33"/>
  <c r="S266" i="33"/>
  <c r="S265" i="33"/>
  <c r="S264" i="33"/>
  <c r="S263" i="33"/>
  <c r="S262" i="33"/>
  <c r="S261" i="33"/>
  <c r="S260" i="33"/>
  <c r="S259" i="33"/>
  <c r="S258" i="33"/>
  <c r="S257" i="33"/>
  <c r="S256" i="33"/>
  <c r="S255" i="33"/>
  <c r="S254" i="33"/>
  <c r="S253" i="33"/>
  <c r="S252" i="33"/>
  <c r="S251" i="33"/>
  <c r="S250" i="33"/>
  <c r="S249" i="33"/>
  <c r="S248" i="33"/>
  <c r="S247" i="33"/>
  <c r="S246" i="33"/>
  <c r="S245" i="33"/>
  <c r="S244" i="33"/>
  <c r="S243" i="33"/>
  <c r="S242" i="33"/>
  <c r="S241" i="33"/>
  <c r="S240" i="33"/>
  <c r="S239" i="33"/>
  <c r="S238" i="33"/>
  <c r="S237" i="33"/>
  <c r="S236" i="33"/>
  <c r="S235" i="33"/>
  <c r="S234" i="33"/>
  <c r="S233" i="33"/>
  <c r="S232" i="33"/>
  <c r="S231" i="33"/>
  <c r="S230" i="33"/>
  <c r="S229" i="33"/>
  <c r="S228" i="33"/>
  <c r="S227" i="33"/>
  <c r="S226" i="33"/>
  <c r="S225" i="33"/>
  <c r="S224" i="33"/>
  <c r="S223" i="33"/>
  <c r="S222" i="33"/>
  <c r="S221" i="33"/>
  <c r="S220" i="33"/>
  <c r="S219" i="33"/>
  <c r="S218" i="33"/>
  <c r="S217" i="33"/>
  <c r="S216" i="33"/>
  <c r="S215" i="33"/>
  <c r="S214" i="33"/>
  <c r="S213" i="33"/>
  <c r="S212" i="33"/>
  <c r="S211" i="33"/>
  <c r="S210" i="33"/>
  <c r="S209" i="33"/>
  <c r="S208" i="33"/>
  <c r="S207" i="33"/>
  <c r="S206" i="33"/>
  <c r="S205" i="33"/>
  <c r="S204" i="33"/>
  <c r="S203" i="33"/>
  <c r="S202" i="33"/>
  <c r="S201" i="33"/>
  <c r="S200" i="33"/>
  <c r="S199" i="33"/>
  <c r="S198" i="33"/>
  <c r="S197" i="33"/>
  <c r="S196" i="33"/>
  <c r="S195" i="33"/>
  <c r="S194" i="33"/>
  <c r="S193" i="33"/>
  <c r="S192" i="33"/>
  <c r="S191" i="33"/>
  <c r="S190" i="33"/>
  <c r="S189" i="33"/>
  <c r="S188" i="33"/>
  <c r="S187" i="33"/>
  <c r="S186" i="33"/>
  <c r="S185" i="33"/>
  <c r="S184" i="33"/>
  <c r="S183" i="33"/>
  <c r="S182" i="33"/>
  <c r="S181" i="33"/>
  <c r="S180" i="33"/>
  <c r="S179" i="33"/>
  <c r="S178" i="33"/>
  <c r="S177" i="33"/>
  <c r="S176" i="33"/>
  <c r="S175" i="33"/>
  <c r="S174" i="33"/>
  <c r="S173" i="33"/>
  <c r="S172" i="33"/>
  <c r="S171" i="33"/>
  <c r="S170" i="33"/>
  <c r="S169" i="33"/>
  <c r="S168" i="33"/>
  <c r="S167" i="33"/>
  <c r="S166" i="33"/>
  <c r="S165" i="33"/>
  <c r="S164" i="33"/>
  <c r="S163" i="33"/>
  <c r="S162" i="33"/>
  <c r="S161" i="33"/>
  <c r="S160" i="33"/>
  <c r="S159" i="33"/>
  <c r="S158" i="33"/>
  <c r="S157" i="33"/>
  <c r="S156" i="33"/>
  <c r="S155" i="33"/>
  <c r="S154" i="33"/>
  <c r="S153" i="33"/>
  <c r="S152" i="33"/>
  <c r="S151" i="33"/>
  <c r="S150" i="33"/>
  <c r="S149" i="33"/>
  <c r="S148" i="33"/>
  <c r="S147" i="33"/>
  <c r="S146" i="33"/>
  <c r="S145" i="33"/>
  <c r="S144" i="33"/>
  <c r="S143" i="33"/>
  <c r="S142" i="33"/>
  <c r="S141" i="33"/>
  <c r="S140" i="33"/>
  <c r="S139" i="33"/>
  <c r="S138" i="33"/>
  <c r="S137" i="33"/>
  <c r="S136" i="33"/>
  <c r="S135" i="33"/>
  <c r="S134" i="33"/>
  <c r="S133" i="33"/>
  <c r="S132" i="33"/>
  <c r="S131" i="33"/>
  <c r="S130" i="33"/>
  <c r="S129" i="33"/>
  <c r="S128" i="33"/>
  <c r="S127" i="33"/>
  <c r="S126" i="33"/>
  <c r="S125" i="33"/>
  <c r="S124" i="33"/>
  <c r="S123" i="33"/>
  <c r="S122" i="33"/>
  <c r="S121" i="33"/>
  <c r="S120" i="33"/>
  <c r="S119" i="33"/>
  <c r="S118" i="33"/>
  <c r="S117" i="33"/>
  <c r="S116" i="33"/>
  <c r="S115" i="33"/>
  <c r="S114" i="33"/>
  <c r="S113" i="33"/>
  <c r="S112" i="33"/>
  <c r="S111" i="33"/>
  <c r="S110" i="33"/>
  <c r="S109" i="33"/>
  <c r="S108" i="33"/>
  <c r="S107" i="33"/>
  <c r="S106" i="33"/>
  <c r="S105" i="33"/>
  <c r="S104" i="33"/>
  <c r="S103" i="33"/>
  <c r="S102" i="33"/>
  <c r="S101" i="33"/>
  <c r="S100" i="33"/>
  <c r="S99" i="33"/>
  <c r="S98" i="33"/>
  <c r="S97" i="33"/>
  <c r="S96" i="33"/>
  <c r="S95" i="33"/>
  <c r="S94" i="33"/>
  <c r="S93" i="33"/>
  <c r="S92" i="33"/>
  <c r="S91" i="33"/>
  <c r="S90" i="33"/>
  <c r="S89" i="33"/>
  <c r="S88" i="33"/>
  <c r="S87" i="33"/>
  <c r="S86" i="33"/>
  <c r="S85" i="33"/>
  <c r="S84" i="33"/>
  <c r="S83" i="33"/>
  <c r="S82" i="33"/>
  <c r="S81" i="33"/>
  <c r="S80" i="33"/>
  <c r="S79" i="33"/>
  <c r="S78" i="33"/>
  <c r="S77" i="33"/>
  <c r="S76" i="33"/>
  <c r="S75" i="33"/>
  <c r="S74" i="33"/>
  <c r="S73" i="33"/>
  <c r="S72" i="33"/>
  <c r="S71" i="33"/>
  <c r="S70" i="33"/>
  <c r="S69" i="33"/>
  <c r="S68" i="33"/>
  <c r="S67" i="33"/>
  <c r="S66" i="33"/>
  <c r="S65" i="33"/>
  <c r="S64" i="33"/>
  <c r="S63" i="33"/>
  <c r="S62" i="33"/>
  <c r="S61" i="33"/>
  <c r="S60" i="33"/>
  <c r="S59" i="33"/>
  <c r="S58" i="33"/>
  <c r="S57" i="33"/>
  <c r="S56" i="33"/>
  <c r="S55" i="33"/>
  <c r="S54" i="33"/>
  <c r="S53" i="33"/>
  <c r="S52" i="33"/>
  <c r="S51" i="33"/>
  <c r="S50" i="33"/>
  <c r="S49" i="33"/>
  <c r="S48" i="33"/>
  <c r="S47" i="33"/>
  <c r="S46" i="33"/>
  <c r="S45" i="33"/>
  <c r="S44" i="33"/>
  <c r="S43" i="33"/>
  <c r="S42" i="33"/>
  <c r="S41" i="33"/>
  <c r="S40" i="33"/>
  <c r="S39" i="33"/>
  <c r="S38" i="33"/>
  <c r="S37" i="33"/>
  <c r="S36" i="33"/>
  <c r="S35" i="33"/>
  <c r="S34" i="33"/>
  <c r="S33" i="33"/>
  <c r="S32" i="33"/>
  <c r="S31" i="33"/>
  <c r="S30" i="33"/>
  <c r="S29" i="33"/>
  <c r="S28" i="33"/>
  <c r="S27" i="33"/>
  <c r="S26" i="33"/>
  <c r="S25" i="33"/>
  <c r="S24" i="33"/>
  <c r="S23" i="33"/>
  <c r="S22" i="33"/>
  <c r="S21" i="33"/>
  <c r="S20" i="33"/>
  <c r="S19" i="33"/>
  <c r="S18" i="33"/>
  <c r="S17" i="33"/>
  <c r="S16" i="33"/>
  <c r="S15" i="33"/>
  <c r="S14" i="33"/>
  <c r="S13" i="33"/>
  <c r="S12" i="33"/>
  <c r="S11" i="33"/>
  <c r="S10" i="33"/>
  <c r="S9" i="33"/>
  <c r="S8" i="33"/>
  <c r="S7" i="33"/>
  <c r="S6" i="33"/>
  <c r="S5" i="33"/>
  <c r="S4" i="33"/>
  <c r="S3" i="33"/>
  <c r="V363" i="33"/>
  <c r="AF20" i="25"/>
  <c r="AF25" i="25"/>
  <c r="AF24" i="25"/>
  <c r="V29" i="26"/>
  <c r="U30" i="26"/>
  <c r="AB6" i="25"/>
  <c r="AB54" i="25"/>
  <c r="AB55" i="25"/>
  <c r="AB56" i="25"/>
  <c r="AB57" i="25"/>
  <c r="AB59" i="25"/>
  <c r="AB94" i="25"/>
  <c r="AB26" i="25"/>
  <c r="AB27" i="25"/>
  <c r="F99" i="16"/>
  <c r="AD6" i="25"/>
  <c r="AD54" i="25"/>
  <c r="AD55" i="25"/>
  <c r="AD56" i="25"/>
  <c r="AD57" i="25"/>
  <c r="AD59" i="25"/>
  <c r="AD94" i="25"/>
  <c r="AD26" i="25"/>
  <c r="AD27" i="25"/>
  <c r="I92" i="16"/>
  <c r="I91" i="16"/>
  <c r="I90" i="16"/>
  <c r="I89" i="16"/>
  <c r="V86" i="26"/>
  <c r="U85" i="26"/>
  <c r="R28" i="26"/>
  <c r="Q29" i="26"/>
  <c r="R38" i="26"/>
  <c r="Q37" i="26"/>
  <c r="BO184" i="25"/>
  <c r="AC28" i="25"/>
  <c r="BX200" i="25"/>
  <c r="AC33" i="25"/>
  <c r="AC34" i="25"/>
  <c r="AC29" i="25"/>
  <c r="BQ184" i="25"/>
  <c r="AE28" i="25"/>
  <c r="BZ200" i="25"/>
  <c r="AE33" i="25"/>
  <c r="AE34" i="25"/>
  <c r="AE29" i="25"/>
  <c r="V38" i="26"/>
  <c r="U37" i="26"/>
  <c r="R86" i="26"/>
  <c r="Q85" i="26"/>
  <c r="T26" i="26"/>
  <c r="V28" i="26"/>
  <c r="U29" i="26"/>
  <c r="Y363" i="33"/>
  <c r="V362" i="33"/>
  <c r="V361" i="33"/>
  <c r="V360" i="33"/>
  <c r="V359" i="33"/>
  <c r="V358" i="33"/>
  <c r="V357" i="33"/>
  <c r="V356" i="33"/>
  <c r="V355" i="33"/>
  <c r="V354" i="33"/>
  <c r="V353" i="33"/>
  <c r="V352" i="33"/>
  <c r="V351" i="33"/>
  <c r="V350" i="33"/>
  <c r="V349" i="33"/>
  <c r="V348" i="33"/>
  <c r="V347" i="33"/>
  <c r="V346" i="33"/>
  <c r="V345" i="33"/>
  <c r="V344" i="33"/>
  <c r="V343" i="33"/>
  <c r="V342" i="33"/>
  <c r="V341" i="33"/>
  <c r="V340" i="33"/>
  <c r="V339" i="33"/>
  <c r="V338" i="33"/>
  <c r="V337" i="33"/>
  <c r="V336" i="33"/>
  <c r="V335" i="33"/>
  <c r="V334" i="33"/>
  <c r="V333" i="33"/>
  <c r="V332" i="33"/>
  <c r="V331" i="33"/>
  <c r="V330" i="33"/>
  <c r="V329" i="33"/>
  <c r="V328" i="33"/>
  <c r="V327" i="33"/>
  <c r="V326" i="33"/>
  <c r="V325" i="33"/>
  <c r="V324" i="33"/>
  <c r="V323" i="33"/>
  <c r="V322" i="33"/>
  <c r="V321" i="33"/>
  <c r="V320" i="33"/>
  <c r="V319" i="33"/>
  <c r="V318" i="33"/>
  <c r="V317" i="33"/>
  <c r="V316" i="33"/>
  <c r="V315" i="33"/>
  <c r="V314" i="33"/>
  <c r="V313" i="33"/>
  <c r="V312" i="33"/>
  <c r="V311" i="33"/>
  <c r="V310" i="33"/>
  <c r="V309" i="33"/>
  <c r="V308" i="33"/>
  <c r="V307" i="33"/>
  <c r="V306" i="33"/>
  <c r="V305" i="33"/>
  <c r="V304" i="33"/>
  <c r="V303" i="33"/>
  <c r="V302" i="33"/>
  <c r="V301" i="33"/>
  <c r="V300" i="33"/>
  <c r="V299" i="33"/>
  <c r="V298" i="33"/>
  <c r="V297" i="33"/>
  <c r="V296" i="33"/>
  <c r="V295" i="33"/>
  <c r="V294" i="33"/>
  <c r="V293" i="33"/>
  <c r="V292" i="33"/>
  <c r="V291" i="33"/>
  <c r="V290" i="33"/>
  <c r="V289" i="33"/>
  <c r="V288" i="33"/>
  <c r="V287" i="33"/>
  <c r="V286" i="33"/>
  <c r="V285" i="33"/>
  <c r="V284" i="33"/>
  <c r="V283" i="33"/>
  <c r="V282" i="33"/>
  <c r="V281" i="33"/>
  <c r="V280" i="33"/>
  <c r="V279" i="33"/>
  <c r="V278" i="33"/>
  <c r="V277" i="33"/>
  <c r="V276" i="33"/>
  <c r="V275" i="33"/>
  <c r="V274" i="33"/>
  <c r="V273" i="33"/>
  <c r="V272" i="33"/>
  <c r="V271" i="33"/>
  <c r="V270" i="33"/>
  <c r="V269" i="33"/>
  <c r="V268" i="33"/>
  <c r="V267" i="33"/>
  <c r="V266" i="33"/>
  <c r="V265" i="33"/>
  <c r="V264" i="33"/>
  <c r="V263" i="33"/>
  <c r="V262" i="33"/>
  <c r="V261" i="33"/>
  <c r="V260" i="33"/>
  <c r="V259" i="33"/>
  <c r="V258" i="33"/>
  <c r="V257" i="33"/>
  <c r="V256" i="33"/>
  <c r="V255" i="33"/>
  <c r="V254" i="33"/>
  <c r="V253" i="33"/>
  <c r="V252" i="33"/>
  <c r="V251" i="33"/>
  <c r="V250" i="33"/>
  <c r="V249" i="33"/>
  <c r="V248" i="33"/>
  <c r="V247" i="33"/>
  <c r="V246" i="33"/>
  <c r="V245" i="33"/>
  <c r="V244" i="33"/>
  <c r="V243" i="33"/>
  <c r="V242" i="33"/>
  <c r="V241" i="33"/>
  <c r="V240" i="33"/>
  <c r="V239" i="33"/>
  <c r="V238" i="33"/>
  <c r="V237" i="33"/>
  <c r="V236" i="33"/>
  <c r="V235" i="33"/>
  <c r="V234" i="33"/>
  <c r="V233" i="33"/>
  <c r="V232" i="33"/>
  <c r="V231" i="33"/>
  <c r="V230" i="33"/>
  <c r="V229" i="33"/>
  <c r="V228" i="33"/>
  <c r="V227" i="33"/>
  <c r="V226" i="33"/>
  <c r="V225" i="33"/>
  <c r="V224" i="33"/>
  <c r="V223" i="33"/>
  <c r="V222" i="33"/>
  <c r="V221" i="33"/>
  <c r="V220" i="33"/>
  <c r="V219" i="33"/>
  <c r="V218" i="33"/>
  <c r="V217" i="33"/>
  <c r="V216" i="33"/>
  <c r="V215" i="33"/>
  <c r="V214" i="33"/>
  <c r="V213" i="33"/>
  <c r="V212" i="33"/>
  <c r="V211" i="33"/>
  <c r="V210" i="33"/>
  <c r="V209" i="33"/>
  <c r="V208" i="33"/>
  <c r="V207" i="33"/>
  <c r="V206" i="33"/>
  <c r="V205" i="33"/>
  <c r="V204" i="33"/>
  <c r="V203" i="33"/>
  <c r="V202" i="33"/>
  <c r="V201" i="33"/>
  <c r="V200" i="33"/>
  <c r="V199" i="33"/>
  <c r="V198" i="33"/>
  <c r="V197" i="33"/>
  <c r="V196" i="33"/>
  <c r="V195" i="33"/>
  <c r="V194" i="33"/>
  <c r="V193" i="33"/>
  <c r="V192" i="33"/>
  <c r="V191" i="33"/>
  <c r="V190" i="33"/>
  <c r="V189" i="33"/>
  <c r="V188" i="33"/>
  <c r="V187" i="33"/>
  <c r="V186" i="33"/>
  <c r="V185" i="33"/>
  <c r="V184" i="33"/>
  <c r="V183" i="33"/>
  <c r="V182" i="33"/>
  <c r="V181" i="33"/>
  <c r="V180" i="33"/>
  <c r="V179" i="33"/>
  <c r="V178" i="33"/>
  <c r="V177" i="33"/>
  <c r="V176" i="33"/>
  <c r="V175" i="33"/>
  <c r="V174" i="33"/>
  <c r="V173" i="33"/>
  <c r="V172" i="33"/>
  <c r="V171" i="33"/>
  <c r="V170" i="33"/>
  <c r="V169" i="33"/>
  <c r="V168" i="33"/>
  <c r="V167" i="33"/>
  <c r="V166" i="33"/>
  <c r="V165" i="33"/>
  <c r="V164" i="33"/>
  <c r="V163" i="33"/>
  <c r="V162" i="33"/>
  <c r="V161" i="33"/>
  <c r="V160" i="33"/>
  <c r="V159" i="33"/>
  <c r="V158" i="33"/>
  <c r="V157" i="33"/>
  <c r="V156" i="33"/>
  <c r="V155" i="33"/>
  <c r="V154" i="33"/>
  <c r="V153" i="33"/>
  <c r="V152" i="33"/>
  <c r="V151" i="33"/>
  <c r="V150" i="33"/>
  <c r="V149" i="33"/>
  <c r="V148" i="33"/>
  <c r="V147" i="33"/>
  <c r="V146" i="33"/>
  <c r="V145" i="33"/>
  <c r="V144" i="33"/>
  <c r="V143" i="33"/>
  <c r="V142" i="33"/>
  <c r="V141" i="33"/>
  <c r="V140" i="33"/>
  <c r="V139" i="33"/>
  <c r="V138" i="33"/>
  <c r="V137" i="33"/>
  <c r="V136" i="33"/>
  <c r="V135" i="33"/>
  <c r="V134" i="33"/>
  <c r="V133" i="33"/>
  <c r="V132" i="33"/>
  <c r="V131" i="33"/>
  <c r="V130" i="33"/>
  <c r="V129" i="33"/>
  <c r="V128" i="33"/>
  <c r="V127" i="33"/>
  <c r="V126" i="33"/>
  <c r="V125" i="33"/>
  <c r="V124" i="33"/>
  <c r="V123" i="33"/>
  <c r="V122" i="33"/>
  <c r="V121" i="33"/>
  <c r="V120" i="33"/>
  <c r="V119" i="33"/>
  <c r="V118" i="33"/>
  <c r="V117" i="33"/>
  <c r="V116" i="33"/>
  <c r="V115" i="33"/>
  <c r="V114" i="33"/>
  <c r="V113" i="33"/>
  <c r="V112" i="33"/>
  <c r="V111" i="33"/>
  <c r="V110" i="33"/>
  <c r="V109" i="33"/>
  <c r="V108" i="33"/>
  <c r="V107" i="33"/>
  <c r="V106" i="33"/>
  <c r="V105" i="33"/>
  <c r="V104" i="33"/>
  <c r="V103" i="33"/>
  <c r="V102" i="33"/>
  <c r="V101" i="33"/>
  <c r="V100" i="33"/>
  <c r="V99" i="33"/>
  <c r="V98" i="33"/>
  <c r="V97" i="33"/>
  <c r="V96" i="33"/>
  <c r="V95" i="33"/>
  <c r="V94" i="33"/>
  <c r="V93" i="33"/>
  <c r="V92" i="33"/>
  <c r="V91" i="33"/>
  <c r="V90" i="33"/>
  <c r="V89" i="33"/>
  <c r="V88" i="33"/>
  <c r="V87" i="33"/>
  <c r="V86" i="33"/>
  <c r="V85" i="33"/>
  <c r="V84" i="33"/>
  <c r="V83" i="33"/>
  <c r="V82" i="33"/>
  <c r="V81" i="33"/>
  <c r="V80" i="33"/>
  <c r="V79" i="33"/>
  <c r="V78" i="33"/>
  <c r="V77" i="33"/>
  <c r="V76" i="33"/>
  <c r="V75" i="33"/>
  <c r="V74" i="33"/>
  <c r="V73" i="33"/>
  <c r="V72" i="33"/>
  <c r="V71" i="33"/>
  <c r="V70" i="33"/>
  <c r="V69" i="33"/>
  <c r="V68" i="33"/>
  <c r="V67" i="33"/>
  <c r="V66" i="33"/>
  <c r="V65" i="33"/>
  <c r="V64" i="33"/>
  <c r="V63" i="33"/>
  <c r="V62" i="33"/>
  <c r="V61" i="33"/>
  <c r="V60" i="33"/>
  <c r="V59" i="33"/>
  <c r="V58" i="33"/>
  <c r="V57" i="33"/>
  <c r="V56" i="33"/>
  <c r="V55" i="33"/>
  <c r="V54" i="33"/>
  <c r="V53" i="33"/>
  <c r="V52" i="33"/>
  <c r="V51" i="33"/>
  <c r="V50" i="33"/>
  <c r="V49" i="33"/>
  <c r="V48" i="33"/>
  <c r="V47" i="33"/>
  <c r="V46" i="33"/>
  <c r="V45" i="33"/>
  <c r="V44" i="33"/>
  <c r="V43" i="33"/>
  <c r="V42" i="33"/>
  <c r="V41" i="33"/>
  <c r="V40" i="33"/>
  <c r="V39" i="33"/>
  <c r="V38" i="33"/>
  <c r="V37" i="33"/>
  <c r="V36" i="33"/>
  <c r="V35" i="33"/>
  <c r="V34" i="33"/>
  <c r="V33" i="33"/>
  <c r="V32" i="33"/>
  <c r="V31" i="33"/>
  <c r="V30" i="33"/>
  <c r="V29" i="33"/>
  <c r="V28" i="33"/>
  <c r="V27" i="33"/>
  <c r="V26" i="33"/>
  <c r="V25" i="33"/>
  <c r="V24" i="33"/>
  <c r="V23" i="33"/>
  <c r="V22" i="33"/>
  <c r="V21" i="33"/>
  <c r="V20" i="33"/>
  <c r="V19" i="33"/>
  <c r="V18" i="33"/>
  <c r="V17" i="33"/>
  <c r="V16" i="33"/>
  <c r="V15" i="33"/>
  <c r="V14" i="33"/>
  <c r="V13" i="33"/>
  <c r="V12" i="33"/>
  <c r="V11" i="33"/>
  <c r="V10" i="33"/>
  <c r="V9" i="33"/>
  <c r="V8" i="33"/>
  <c r="V7" i="33"/>
  <c r="V6" i="33"/>
  <c r="V5" i="33"/>
  <c r="V4" i="33"/>
  <c r="V3" i="33"/>
  <c r="BM184" i="25"/>
  <c r="AA28" i="25"/>
  <c r="BV200" i="25"/>
  <c r="AA33" i="25"/>
  <c r="AA34" i="25"/>
  <c r="AA29" i="25"/>
  <c r="BS184" i="25"/>
  <c r="AG28" i="25"/>
  <c r="CB200" i="25"/>
  <c r="AG33" i="25"/>
  <c r="AG34" i="25"/>
  <c r="AG29" i="25"/>
  <c r="AH6" i="25"/>
  <c r="AH54" i="25"/>
  <c r="AH55" i="25"/>
  <c r="AH56" i="25"/>
  <c r="AH57" i="25"/>
  <c r="AH59" i="25"/>
  <c r="AH94" i="25"/>
  <c r="AH26" i="25"/>
  <c r="AH27" i="25"/>
  <c r="AA363" i="33"/>
  <c r="X362" i="33"/>
  <c r="X361" i="33"/>
  <c r="X360" i="33"/>
  <c r="X359" i="33"/>
  <c r="X358" i="33"/>
  <c r="X357" i="33"/>
  <c r="X356" i="33"/>
  <c r="X355" i="33"/>
  <c r="X354" i="33"/>
  <c r="X353" i="33"/>
  <c r="X352" i="33"/>
  <c r="X351" i="33"/>
  <c r="X350" i="33"/>
  <c r="X349" i="33"/>
  <c r="X348" i="33"/>
  <c r="X347" i="33"/>
  <c r="X346" i="33"/>
  <c r="X345" i="33"/>
  <c r="X344" i="33"/>
  <c r="X343" i="33"/>
  <c r="X342" i="33"/>
  <c r="X341" i="33"/>
  <c r="X340" i="33"/>
  <c r="X339" i="33"/>
  <c r="X338" i="33"/>
  <c r="X337" i="33"/>
  <c r="X336" i="33"/>
  <c r="X335" i="33"/>
  <c r="X334" i="33"/>
  <c r="X333" i="33"/>
  <c r="X332" i="33"/>
  <c r="X331" i="33"/>
  <c r="X330" i="33"/>
  <c r="X329" i="33"/>
  <c r="X328" i="33"/>
  <c r="X327" i="33"/>
  <c r="X326" i="33"/>
  <c r="X325" i="33"/>
  <c r="X324" i="33"/>
  <c r="X323" i="33"/>
  <c r="X322" i="33"/>
  <c r="X321" i="33"/>
  <c r="X320" i="33"/>
  <c r="X319" i="33"/>
  <c r="X318" i="33"/>
  <c r="X317" i="33"/>
  <c r="X316" i="33"/>
  <c r="X315" i="33"/>
  <c r="X314" i="33"/>
  <c r="X313" i="33"/>
  <c r="X312" i="33"/>
  <c r="X311" i="33"/>
  <c r="X310" i="33"/>
  <c r="X309" i="33"/>
  <c r="X308" i="33"/>
  <c r="X307" i="33"/>
  <c r="X306" i="33"/>
  <c r="X305" i="33"/>
  <c r="X304" i="33"/>
  <c r="X303" i="33"/>
  <c r="X302" i="33"/>
  <c r="X301" i="33"/>
  <c r="X300" i="33"/>
  <c r="X299" i="33"/>
  <c r="X298" i="33"/>
  <c r="X297" i="33"/>
  <c r="X296" i="33"/>
  <c r="X295" i="33"/>
  <c r="X294" i="33"/>
  <c r="X293" i="33"/>
  <c r="X292" i="33"/>
  <c r="X291" i="33"/>
  <c r="X290" i="33"/>
  <c r="X289" i="33"/>
  <c r="X288" i="33"/>
  <c r="X287" i="33"/>
  <c r="X286" i="33"/>
  <c r="X285" i="33"/>
  <c r="X284" i="33"/>
  <c r="X283" i="33"/>
  <c r="X282" i="33"/>
  <c r="X281" i="33"/>
  <c r="X280" i="33"/>
  <c r="X279" i="33"/>
  <c r="X278" i="33"/>
  <c r="X277" i="33"/>
  <c r="X276" i="33"/>
  <c r="X275" i="33"/>
  <c r="X274" i="33"/>
  <c r="X273" i="33"/>
  <c r="X272" i="33"/>
  <c r="X271" i="33"/>
  <c r="X270" i="33"/>
  <c r="X269" i="33"/>
  <c r="X268" i="33"/>
  <c r="X267" i="33"/>
  <c r="X266" i="33"/>
  <c r="X265" i="33"/>
  <c r="X264" i="33"/>
  <c r="X263" i="33"/>
  <c r="X262" i="33"/>
  <c r="X261" i="33"/>
  <c r="X260" i="33"/>
  <c r="X259" i="33"/>
  <c r="X258" i="33"/>
  <c r="X257" i="33"/>
  <c r="X256" i="33"/>
  <c r="X255" i="33"/>
  <c r="X254" i="33"/>
  <c r="X253" i="33"/>
  <c r="X252" i="33"/>
  <c r="X251" i="33"/>
  <c r="X250" i="33"/>
  <c r="X249" i="33"/>
  <c r="X248" i="33"/>
  <c r="X247" i="33"/>
  <c r="X246" i="33"/>
  <c r="X245" i="33"/>
  <c r="X244" i="33"/>
  <c r="X243" i="33"/>
  <c r="X242" i="33"/>
  <c r="X241" i="33"/>
  <c r="X240" i="33"/>
  <c r="X239" i="33"/>
  <c r="X238" i="33"/>
  <c r="X237" i="33"/>
  <c r="X236" i="33"/>
  <c r="X235" i="33"/>
  <c r="X234" i="33"/>
  <c r="X233" i="33"/>
  <c r="X232" i="33"/>
  <c r="X231" i="33"/>
  <c r="X230" i="33"/>
  <c r="X229" i="33"/>
  <c r="X228" i="33"/>
  <c r="X227" i="33"/>
  <c r="X226" i="33"/>
  <c r="X225" i="33"/>
  <c r="X224" i="33"/>
  <c r="X223" i="33"/>
  <c r="X222" i="33"/>
  <c r="X221" i="33"/>
  <c r="X220" i="33"/>
  <c r="X219" i="33"/>
  <c r="X218" i="33"/>
  <c r="X217" i="33"/>
  <c r="X216" i="33"/>
  <c r="X215" i="33"/>
  <c r="X214" i="33"/>
  <c r="X213" i="33"/>
  <c r="X212" i="33"/>
  <c r="X211" i="33"/>
  <c r="X210" i="33"/>
  <c r="X209" i="33"/>
  <c r="X208" i="33"/>
  <c r="X207" i="33"/>
  <c r="X206" i="33"/>
  <c r="X205" i="33"/>
  <c r="X204" i="33"/>
  <c r="X203" i="33"/>
  <c r="X202" i="33"/>
  <c r="X201" i="33"/>
  <c r="X200" i="33"/>
  <c r="X199" i="33"/>
  <c r="X198" i="33"/>
  <c r="X197" i="33"/>
  <c r="X196" i="33"/>
  <c r="X195" i="33"/>
  <c r="X194" i="33"/>
  <c r="X193" i="33"/>
  <c r="X192" i="33"/>
  <c r="X191" i="33"/>
  <c r="X190" i="33"/>
  <c r="X189" i="33"/>
  <c r="X188" i="33"/>
  <c r="X187" i="33"/>
  <c r="X186" i="33"/>
  <c r="X185" i="33"/>
  <c r="X184" i="33"/>
  <c r="X183" i="33"/>
  <c r="X182" i="33"/>
  <c r="X181" i="33"/>
  <c r="X180" i="33"/>
  <c r="X179" i="33"/>
  <c r="X178" i="33"/>
  <c r="X177" i="33"/>
  <c r="X176" i="33"/>
  <c r="X175" i="33"/>
  <c r="X174" i="33"/>
  <c r="X173" i="33"/>
  <c r="X172" i="33"/>
  <c r="X171" i="33"/>
  <c r="X170" i="33"/>
  <c r="X169" i="33"/>
  <c r="X168" i="33"/>
  <c r="X167" i="33"/>
  <c r="X166" i="33"/>
  <c r="X165" i="33"/>
  <c r="X164" i="33"/>
  <c r="X163" i="33"/>
  <c r="X162" i="33"/>
  <c r="X161" i="33"/>
  <c r="X160" i="33"/>
  <c r="X159" i="33"/>
  <c r="X158" i="33"/>
  <c r="X157" i="33"/>
  <c r="X156" i="33"/>
  <c r="X155" i="33"/>
  <c r="X154" i="33"/>
  <c r="X153" i="33"/>
  <c r="X152" i="33"/>
  <c r="X151" i="33"/>
  <c r="X150" i="33"/>
  <c r="X149" i="33"/>
  <c r="X148" i="33"/>
  <c r="X147" i="33"/>
  <c r="X146" i="33"/>
  <c r="X145" i="33"/>
  <c r="X144" i="33"/>
  <c r="X143" i="33"/>
  <c r="X142" i="33"/>
  <c r="X141" i="33"/>
  <c r="X140" i="33"/>
  <c r="X139" i="33"/>
  <c r="X138" i="33"/>
  <c r="X137" i="33"/>
  <c r="X136" i="33"/>
  <c r="X135" i="33"/>
  <c r="X134" i="33"/>
  <c r="X133" i="33"/>
  <c r="X132" i="33"/>
  <c r="X131" i="33"/>
  <c r="X130" i="33"/>
  <c r="X129" i="33"/>
  <c r="X128" i="33"/>
  <c r="X127" i="33"/>
  <c r="X126" i="33"/>
  <c r="X125" i="33"/>
  <c r="X124" i="33"/>
  <c r="X123" i="33"/>
  <c r="X122" i="33"/>
  <c r="X121" i="33"/>
  <c r="X120" i="33"/>
  <c r="X119" i="33"/>
  <c r="X118" i="33"/>
  <c r="X117" i="33"/>
  <c r="X116" i="33"/>
  <c r="X115" i="33"/>
  <c r="X114" i="33"/>
  <c r="X113" i="33"/>
  <c r="X112" i="33"/>
  <c r="X111" i="33"/>
  <c r="X110" i="33"/>
  <c r="X109" i="33"/>
  <c r="X108" i="33"/>
  <c r="X107" i="33"/>
  <c r="X106" i="33"/>
  <c r="X105" i="33"/>
  <c r="X104" i="33"/>
  <c r="X103" i="33"/>
  <c r="X102" i="33"/>
  <c r="X101" i="33"/>
  <c r="X100" i="33"/>
  <c r="X99" i="33"/>
  <c r="X98" i="33"/>
  <c r="X97" i="33"/>
  <c r="X96" i="33"/>
  <c r="X95" i="33"/>
  <c r="X94" i="33"/>
  <c r="X93" i="33"/>
  <c r="X92" i="33"/>
  <c r="X91" i="33"/>
  <c r="X90" i="33"/>
  <c r="X89" i="33"/>
  <c r="X88" i="33"/>
  <c r="X87" i="33"/>
  <c r="X86" i="33"/>
  <c r="X85" i="33"/>
  <c r="X84" i="33"/>
  <c r="X83" i="33"/>
  <c r="X82" i="33"/>
  <c r="X81" i="33"/>
  <c r="X80" i="33"/>
  <c r="X79" i="33"/>
  <c r="X78" i="33"/>
  <c r="X77" i="33"/>
  <c r="X76" i="33"/>
  <c r="X75" i="33"/>
  <c r="X74" i="33"/>
  <c r="X73" i="33"/>
  <c r="X72" i="33"/>
  <c r="X71" i="33"/>
  <c r="X70" i="33"/>
  <c r="X69" i="33"/>
  <c r="X68" i="33"/>
  <c r="X67" i="33"/>
  <c r="X66" i="33"/>
  <c r="X65" i="33"/>
  <c r="X64" i="33"/>
  <c r="X63" i="33"/>
  <c r="X62" i="33"/>
  <c r="X61" i="33"/>
  <c r="X60" i="33"/>
  <c r="X59" i="33"/>
  <c r="X58" i="33"/>
  <c r="X57" i="33"/>
  <c r="X56" i="33"/>
  <c r="X55" i="33"/>
  <c r="X54" i="33"/>
  <c r="X53" i="33"/>
  <c r="X52" i="33"/>
  <c r="X51" i="33"/>
  <c r="X50" i="33"/>
  <c r="X49" i="33"/>
  <c r="X48" i="33"/>
  <c r="X47" i="33"/>
  <c r="X46" i="33"/>
  <c r="X45" i="33"/>
  <c r="X44" i="33"/>
  <c r="X43" i="33"/>
  <c r="X42" i="33"/>
  <c r="X41" i="33"/>
  <c r="X40" i="33"/>
  <c r="X39" i="33"/>
  <c r="X38" i="33"/>
  <c r="X37" i="33"/>
  <c r="X36" i="33"/>
  <c r="X35" i="33"/>
  <c r="X34" i="33"/>
  <c r="X33" i="33"/>
  <c r="X32" i="33"/>
  <c r="X31" i="33"/>
  <c r="X30" i="33"/>
  <c r="X29" i="33"/>
  <c r="X28" i="33"/>
  <c r="X27" i="33"/>
  <c r="X26" i="33"/>
  <c r="X25" i="33"/>
  <c r="X24" i="33"/>
  <c r="X23" i="33"/>
  <c r="X22" i="33"/>
  <c r="X21" i="33"/>
  <c r="X20" i="33"/>
  <c r="X19" i="33"/>
  <c r="X18" i="33"/>
  <c r="X17" i="33"/>
  <c r="X16" i="33"/>
  <c r="X15" i="33"/>
  <c r="X14" i="33"/>
  <c r="X13" i="33"/>
  <c r="X12" i="33"/>
  <c r="X11" i="33"/>
  <c r="X10" i="33"/>
  <c r="X9" i="33"/>
  <c r="X8" i="33"/>
  <c r="X7" i="33"/>
  <c r="X6" i="33"/>
  <c r="X5" i="33"/>
  <c r="X4" i="33"/>
  <c r="X3" i="33"/>
  <c r="AF6" i="25"/>
  <c r="AF54" i="25"/>
  <c r="AF55" i="25"/>
  <c r="AF56" i="25"/>
  <c r="AF57" i="25"/>
  <c r="AF59" i="25"/>
  <c r="AF94" i="25"/>
  <c r="AF26" i="25"/>
  <c r="AF27" i="25"/>
  <c r="BT184" i="25"/>
  <c r="AH28" i="25"/>
  <c r="AH29" i="25"/>
  <c r="CC200" i="25"/>
  <c r="AH33" i="25"/>
  <c r="AH34" i="25"/>
  <c r="Y362" i="33"/>
  <c r="Y361" i="33"/>
  <c r="Y360" i="33"/>
  <c r="Y359" i="33"/>
  <c r="Y358" i="33"/>
  <c r="Y357" i="33"/>
  <c r="Y356" i="33"/>
  <c r="Y355" i="33"/>
  <c r="Y354" i="33"/>
  <c r="Y353" i="33"/>
  <c r="Y352" i="33"/>
  <c r="Y351" i="33"/>
  <c r="Y350" i="33"/>
  <c r="Y349" i="33"/>
  <c r="Y348" i="33"/>
  <c r="Y347" i="33"/>
  <c r="Y346" i="33"/>
  <c r="Y345" i="33"/>
  <c r="Y344" i="33"/>
  <c r="Y343" i="33"/>
  <c r="Y342" i="33"/>
  <c r="Y341" i="33"/>
  <c r="Y340" i="33"/>
  <c r="Y339" i="33"/>
  <c r="Y338" i="33"/>
  <c r="Y337" i="33"/>
  <c r="Y336" i="33"/>
  <c r="Y335" i="33"/>
  <c r="Y334" i="33"/>
  <c r="Y333" i="33"/>
  <c r="Y332" i="33"/>
  <c r="Y331" i="33"/>
  <c r="Y330" i="33"/>
  <c r="Y329" i="33"/>
  <c r="Y328" i="33"/>
  <c r="Y327" i="33"/>
  <c r="Y326" i="33"/>
  <c r="Y325" i="33"/>
  <c r="Y324" i="33"/>
  <c r="Y323" i="33"/>
  <c r="Y322" i="33"/>
  <c r="Y321" i="33"/>
  <c r="Y320" i="33"/>
  <c r="Y319" i="33"/>
  <c r="Y318" i="33"/>
  <c r="Y317" i="33"/>
  <c r="Y316" i="33"/>
  <c r="Y315" i="33"/>
  <c r="Y314" i="33"/>
  <c r="Y313" i="33"/>
  <c r="Y312" i="33"/>
  <c r="Y311" i="33"/>
  <c r="Y310" i="33"/>
  <c r="Y309" i="33"/>
  <c r="Y308" i="33"/>
  <c r="Y307" i="33"/>
  <c r="Y306" i="33"/>
  <c r="Y305" i="33"/>
  <c r="Y304" i="33"/>
  <c r="Y303" i="33"/>
  <c r="Y302" i="33"/>
  <c r="Y301" i="33"/>
  <c r="Y300" i="33"/>
  <c r="Y299" i="33"/>
  <c r="Y298" i="33"/>
  <c r="Y297" i="33"/>
  <c r="Y296" i="33"/>
  <c r="Y295" i="33"/>
  <c r="Y294" i="33"/>
  <c r="Y293" i="33"/>
  <c r="Y292" i="33"/>
  <c r="Y291" i="33"/>
  <c r="Y290" i="33"/>
  <c r="Y289" i="33"/>
  <c r="Y288" i="33"/>
  <c r="Y287" i="33"/>
  <c r="Y286" i="33"/>
  <c r="Y285" i="33"/>
  <c r="Y284" i="33"/>
  <c r="Y283" i="33"/>
  <c r="Y282" i="33"/>
  <c r="Y281" i="33"/>
  <c r="Y280" i="33"/>
  <c r="Y279" i="33"/>
  <c r="Y278" i="33"/>
  <c r="Y277" i="33"/>
  <c r="Y276" i="33"/>
  <c r="Y275" i="33"/>
  <c r="Y274" i="33"/>
  <c r="Y273" i="33"/>
  <c r="Y272" i="33"/>
  <c r="Y271" i="33"/>
  <c r="Y270" i="33"/>
  <c r="Y269" i="33"/>
  <c r="Y268" i="33"/>
  <c r="Y267" i="33"/>
  <c r="Y266" i="33"/>
  <c r="Y265" i="33"/>
  <c r="Y264" i="33"/>
  <c r="Y263" i="33"/>
  <c r="Y262" i="33"/>
  <c r="Y261" i="33"/>
  <c r="Y260" i="33"/>
  <c r="Y259" i="33"/>
  <c r="Y258" i="33"/>
  <c r="Y257" i="33"/>
  <c r="Y256" i="33"/>
  <c r="Y255" i="33"/>
  <c r="Y254" i="33"/>
  <c r="Y253" i="33"/>
  <c r="Y252" i="33"/>
  <c r="Y251" i="33"/>
  <c r="Y250" i="33"/>
  <c r="Y249" i="33"/>
  <c r="Y248" i="33"/>
  <c r="Y247" i="33"/>
  <c r="Y246" i="33"/>
  <c r="Y245" i="33"/>
  <c r="Y244" i="33"/>
  <c r="Y243" i="33"/>
  <c r="Y242" i="33"/>
  <c r="Y241" i="33"/>
  <c r="Y240" i="33"/>
  <c r="Y239" i="33"/>
  <c r="Y238" i="33"/>
  <c r="Y237" i="33"/>
  <c r="Y236" i="33"/>
  <c r="Y235" i="33"/>
  <c r="Y234" i="33"/>
  <c r="Y233" i="33"/>
  <c r="Y232" i="33"/>
  <c r="Y231" i="33"/>
  <c r="Y230" i="33"/>
  <c r="Y229" i="33"/>
  <c r="Y228" i="33"/>
  <c r="Y227" i="33"/>
  <c r="Y226" i="33"/>
  <c r="Y225" i="33"/>
  <c r="Y224" i="33"/>
  <c r="Y223" i="33"/>
  <c r="Y222" i="33"/>
  <c r="Y221" i="33"/>
  <c r="Y220" i="33"/>
  <c r="Y219" i="33"/>
  <c r="Y218" i="33"/>
  <c r="Y217" i="33"/>
  <c r="Y216" i="33"/>
  <c r="Y215" i="33"/>
  <c r="Y214" i="33"/>
  <c r="Y213" i="33"/>
  <c r="Y212" i="33"/>
  <c r="Y211" i="33"/>
  <c r="Y210" i="33"/>
  <c r="Y209" i="33"/>
  <c r="Y208" i="33"/>
  <c r="Y207" i="33"/>
  <c r="Y206" i="33"/>
  <c r="Y205" i="33"/>
  <c r="Y204" i="33"/>
  <c r="Y203" i="33"/>
  <c r="Y202" i="33"/>
  <c r="Y201" i="33"/>
  <c r="Y200" i="33"/>
  <c r="Y199" i="33"/>
  <c r="Y198" i="33"/>
  <c r="Y197" i="33"/>
  <c r="Y196" i="33"/>
  <c r="Y195" i="33"/>
  <c r="Y194" i="33"/>
  <c r="Y193" i="33"/>
  <c r="Y192" i="33"/>
  <c r="Y191" i="33"/>
  <c r="Y190" i="33"/>
  <c r="Y189" i="33"/>
  <c r="Y188" i="33"/>
  <c r="Y187" i="33"/>
  <c r="Y186" i="33"/>
  <c r="Y185" i="33"/>
  <c r="Y184" i="33"/>
  <c r="Y183" i="33"/>
  <c r="Y182" i="33"/>
  <c r="Y181" i="33"/>
  <c r="Y180" i="33"/>
  <c r="Y179" i="33"/>
  <c r="Y178" i="33"/>
  <c r="Y177" i="33"/>
  <c r="Y176" i="33"/>
  <c r="Y175" i="33"/>
  <c r="Y174" i="33"/>
  <c r="Y173" i="33"/>
  <c r="Y172" i="33"/>
  <c r="Y171" i="33"/>
  <c r="Y170" i="33"/>
  <c r="Y169" i="33"/>
  <c r="Y168" i="33"/>
  <c r="Y167" i="33"/>
  <c r="Y166" i="33"/>
  <c r="Y165" i="33"/>
  <c r="Y164" i="33"/>
  <c r="Y163" i="33"/>
  <c r="Y162" i="33"/>
  <c r="Y161" i="33"/>
  <c r="Y160" i="33"/>
  <c r="Y159" i="33"/>
  <c r="Y158" i="33"/>
  <c r="Y157" i="33"/>
  <c r="Y156" i="33"/>
  <c r="Y155" i="33"/>
  <c r="Y154" i="33"/>
  <c r="Y153" i="33"/>
  <c r="Y152" i="33"/>
  <c r="Y151" i="33"/>
  <c r="Y150" i="33"/>
  <c r="Y149" i="33"/>
  <c r="Y148" i="33"/>
  <c r="Y147" i="33"/>
  <c r="Y146" i="33"/>
  <c r="Y145" i="33"/>
  <c r="Y144" i="33"/>
  <c r="Y143" i="33"/>
  <c r="Y142" i="33"/>
  <c r="Y141" i="33"/>
  <c r="Y140" i="33"/>
  <c r="Y139" i="33"/>
  <c r="Y138" i="33"/>
  <c r="Y137" i="33"/>
  <c r="Y136" i="33"/>
  <c r="Y135" i="33"/>
  <c r="Y134" i="33"/>
  <c r="Y133" i="33"/>
  <c r="Y132" i="33"/>
  <c r="Y131" i="33"/>
  <c r="Y130" i="33"/>
  <c r="Y129" i="33"/>
  <c r="Y128" i="33"/>
  <c r="Y127" i="33"/>
  <c r="Y126" i="33"/>
  <c r="Y125" i="33"/>
  <c r="Y124" i="33"/>
  <c r="Y123" i="33"/>
  <c r="Y122" i="33"/>
  <c r="Y121" i="33"/>
  <c r="Y120" i="33"/>
  <c r="Y119" i="33"/>
  <c r="Y118" i="33"/>
  <c r="Y117" i="33"/>
  <c r="Y116" i="33"/>
  <c r="Y115" i="33"/>
  <c r="Y114" i="33"/>
  <c r="Y113" i="33"/>
  <c r="Y112" i="33"/>
  <c r="Y111" i="33"/>
  <c r="Y110" i="33"/>
  <c r="Y109" i="33"/>
  <c r="Y108" i="33"/>
  <c r="Y107" i="33"/>
  <c r="Y106" i="33"/>
  <c r="Y105" i="33"/>
  <c r="Y104" i="33"/>
  <c r="Y103" i="33"/>
  <c r="Y102" i="33"/>
  <c r="Y101" i="33"/>
  <c r="Y100" i="33"/>
  <c r="Y99" i="33"/>
  <c r="Y98" i="33"/>
  <c r="Y97" i="33"/>
  <c r="Y96" i="33"/>
  <c r="Y95" i="33"/>
  <c r="Y94" i="33"/>
  <c r="Y93" i="33"/>
  <c r="Y92" i="33"/>
  <c r="Y91" i="33"/>
  <c r="Y90" i="33"/>
  <c r="Y89" i="33"/>
  <c r="Y88" i="33"/>
  <c r="Y87" i="33"/>
  <c r="Y86" i="33"/>
  <c r="Y85" i="33"/>
  <c r="Y84" i="33"/>
  <c r="Y83" i="33"/>
  <c r="Y82" i="33"/>
  <c r="Y81" i="33"/>
  <c r="Y80" i="33"/>
  <c r="Y79" i="33"/>
  <c r="Y78" i="33"/>
  <c r="Y77" i="33"/>
  <c r="Y76" i="33"/>
  <c r="Y75" i="33"/>
  <c r="Y74" i="33"/>
  <c r="Y73" i="33"/>
  <c r="Y72" i="33"/>
  <c r="Y71" i="33"/>
  <c r="Y70" i="33"/>
  <c r="Y69" i="33"/>
  <c r="Y68" i="33"/>
  <c r="Y67" i="33"/>
  <c r="Y66" i="33"/>
  <c r="Y65" i="33"/>
  <c r="Y64" i="33"/>
  <c r="Y63" i="33"/>
  <c r="Y62" i="33"/>
  <c r="Y61" i="33"/>
  <c r="Y60" i="33"/>
  <c r="Y59" i="33"/>
  <c r="Y58" i="33"/>
  <c r="Y57" i="33"/>
  <c r="Y56" i="33"/>
  <c r="Y55" i="33"/>
  <c r="Y54" i="33"/>
  <c r="Y53" i="33"/>
  <c r="Y52" i="33"/>
  <c r="Y51" i="33"/>
  <c r="Y50" i="33"/>
  <c r="Y49" i="33"/>
  <c r="Y48" i="33"/>
  <c r="Y47" i="33"/>
  <c r="Y46" i="33"/>
  <c r="Y45" i="33"/>
  <c r="Y44" i="33"/>
  <c r="Y43" i="33"/>
  <c r="Y42" i="33"/>
  <c r="Y41" i="33"/>
  <c r="Y40" i="33"/>
  <c r="Y39" i="33"/>
  <c r="Y38" i="33"/>
  <c r="Y37" i="33"/>
  <c r="Y36" i="33"/>
  <c r="Y35" i="33"/>
  <c r="Y34" i="33"/>
  <c r="Y33" i="33"/>
  <c r="Y32" i="33"/>
  <c r="Y31" i="33"/>
  <c r="Y30" i="33"/>
  <c r="Y29" i="33"/>
  <c r="Y28" i="33"/>
  <c r="Y27" i="33"/>
  <c r="Y26" i="33"/>
  <c r="Y25" i="33"/>
  <c r="Y24" i="33"/>
  <c r="Y23" i="33"/>
  <c r="Y22" i="33"/>
  <c r="Y21" i="33"/>
  <c r="Y20" i="33"/>
  <c r="Y19" i="33"/>
  <c r="Y18" i="33"/>
  <c r="Y17" i="33"/>
  <c r="Y16" i="33"/>
  <c r="Y15" i="33"/>
  <c r="Y14" i="33"/>
  <c r="Y13" i="33"/>
  <c r="Y12" i="33"/>
  <c r="Y11" i="33"/>
  <c r="Y10" i="33"/>
  <c r="Y9" i="33"/>
  <c r="Y8" i="33"/>
  <c r="Y7" i="33"/>
  <c r="Y6" i="33"/>
  <c r="Y5" i="33"/>
  <c r="Y4" i="33"/>
  <c r="Y3" i="33"/>
  <c r="AB363" i="33"/>
  <c r="V27" i="26"/>
  <c r="U28" i="26"/>
  <c r="T25" i="26"/>
  <c r="R87" i="26"/>
  <c r="Q86" i="26"/>
  <c r="V39" i="26"/>
  <c r="U38" i="26"/>
  <c r="AE32" i="25"/>
  <c r="AE36" i="25"/>
  <c r="AC32" i="25"/>
  <c r="AC36" i="25"/>
  <c r="BP184" i="25"/>
  <c r="AD28" i="25"/>
  <c r="AD29" i="25"/>
  <c r="BY200" i="25"/>
  <c r="AD33" i="25"/>
  <c r="AD34" i="25"/>
  <c r="F98" i="16"/>
  <c r="F97" i="16"/>
  <c r="F96" i="16"/>
  <c r="F95" i="16"/>
  <c r="F94" i="16"/>
  <c r="BR184" i="25"/>
  <c r="AF28" i="25"/>
  <c r="AF29" i="25"/>
  <c r="CA200" i="25"/>
  <c r="AF33" i="25"/>
  <c r="AF34" i="25"/>
  <c r="AA362" i="33"/>
  <c r="AA361" i="33"/>
  <c r="AA360" i="33"/>
  <c r="AA359" i="33"/>
  <c r="AA358" i="33"/>
  <c r="AA357" i="33"/>
  <c r="AA356" i="33"/>
  <c r="AA355" i="33"/>
  <c r="AA354" i="33"/>
  <c r="AA353" i="33"/>
  <c r="AA352" i="33"/>
  <c r="AA351" i="33"/>
  <c r="AA350" i="33"/>
  <c r="AA349" i="33"/>
  <c r="AA348" i="33"/>
  <c r="AA347" i="33"/>
  <c r="AA346" i="33"/>
  <c r="AA345" i="33"/>
  <c r="AA344" i="33"/>
  <c r="AA343" i="33"/>
  <c r="AA342" i="33"/>
  <c r="AA341" i="33"/>
  <c r="AA340" i="33"/>
  <c r="AA339" i="33"/>
  <c r="AA338" i="33"/>
  <c r="AA337" i="33"/>
  <c r="AA336" i="33"/>
  <c r="AA335" i="33"/>
  <c r="AA334" i="33"/>
  <c r="AA333" i="33"/>
  <c r="AA332" i="33"/>
  <c r="AA331" i="33"/>
  <c r="AA330" i="33"/>
  <c r="AA329" i="33"/>
  <c r="AA328" i="33"/>
  <c r="AA327" i="33"/>
  <c r="AA326" i="33"/>
  <c r="AA325" i="33"/>
  <c r="AA324" i="33"/>
  <c r="AA323" i="33"/>
  <c r="AA322" i="33"/>
  <c r="AA321" i="33"/>
  <c r="AA320" i="33"/>
  <c r="AA319" i="33"/>
  <c r="AA318" i="33"/>
  <c r="AA317" i="33"/>
  <c r="AA316" i="33"/>
  <c r="AA315" i="33"/>
  <c r="AA314" i="33"/>
  <c r="AA313" i="33"/>
  <c r="AA312" i="33"/>
  <c r="AA311" i="33"/>
  <c r="AA310" i="33"/>
  <c r="AA309" i="33"/>
  <c r="AA308" i="33"/>
  <c r="AA307" i="33"/>
  <c r="AA306" i="33"/>
  <c r="AA305" i="33"/>
  <c r="AA304" i="33"/>
  <c r="AA303" i="33"/>
  <c r="AA302" i="33"/>
  <c r="AA301" i="33"/>
  <c r="AA300" i="33"/>
  <c r="AA299" i="33"/>
  <c r="AA298" i="33"/>
  <c r="AA297" i="33"/>
  <c r="AA296" i="33"/>
  <c r="AA295" i="33"/>
  <c r="AA294" i="33"/>
  <c r="AA293" i="33"/>
  <c r="AA292" i="33"/>
  <c r="AA291" i="33"/>
  <c r="AA290" i="33"/>
  <c r="AA289" i="33"/>
  <c r="AA288" i="33"/>
  <c r="AA287" i="33"/>
  <c r="AA286" i="33"/>
  <c r="AA285" i="33"/>
  <c r="AA284" i="33"/>
  <c r="AA283" i="33"/>
  <c r="AA282" i="33"/>
  <c r="AA281" i="33"/>
  <c r="AA280" i="33"/>
  <c r="AA279" i="33"/>
  <c r="AA278" i="33"/>
  <c r="AA277" i="33"/>
  <c r="AA276" i="33"/>
  <c r="AA275" i="33"/>
  <c r="AA274" i="33"/>
  <c r="AA273" i="33"/>
  <c r="AA272" i="33"/>
  <c r="AA271" i="33"/>
  <c r="AA270" i="33"/>
  <c r="AA269" i="33"/>
  <c r="AA268" i="33"/>
  <c r="AA267" i="33"/>
  <c r="AA266" i="33"/>
  <c r="AA265" i="33"/>
  <c r="AA264" i="33"/>
  <c r="AA263" i="33"/>
  <c r="AA262" i="33"/>
  <c r="AA261" i="33"/>
  <c r="AA260" i="33"/>
  <c r="AA259" i="33"/>
  <c r="AA258" i="33"/>
  <c r="AA257" i="33"/>
  <c r="AA256" i="33"/>
  <c r="AA255" i="33"/>
  <c r="AA254" i="33"/>
  <c r="AA253" i="33"/>
  <c r="AA252" i="33"/>
  <c r="AA251" i="33"/>
  <c r="AA250" i="33"/>
  <c r="AA249" i="33"/>
  <c r="AA248" i="33"/>
  <c r="AA247" i="33"/>
  <c r="AA246" i="33"/>
  <c r="AA245" i="33"/>
  <c r="AA244" i="33"/>
  <c r="AA243" i="33"/>
  <c r="AA242" i="33"/>
  <c r="AA241" i="33"/>
  <c r="AA240" i="33"/>
  <c r="AA239" i="33"/>
  <c r="AA238" i="33"/>
  <c r="AA237" i="33"/>
  <c r="AA236" i="33"/>
  <c r="AA235" i="33"/>
  <c r="AA234" i="33"/>
  <c r="AA233" i="33"/>
  <c r="AA232" i="33"/>
  <c r="AA231" i="33"/>
  <c r="AA230" i="33"/>
  <c r="AA229" i="33"/>
  <c r="AA228" i="33"/>
  <c r="AA227" i="33"/>
  <c r="AA226" i="33"/>
  <c r="AA225" i="33"/>
  <c r="AA224" i="33"/>
  <c r="AA223" i="33"/>
  <c r="AA222" i="33"/>
  <c r="AA221" i="33"/>
  <c r="AA220" i="33"/>
  <c r="AA219" i="33"/>
  <c r="AA218" i="33"/>
  <c r="AA217" i="33"/>
  <c r="AA216" i="33"/>
  <c r="AA215" i="33"/>
  <c r="AA214" i="33"/>
  <c r="AA213" i="33"/>
  <c r="AA212" i="33"/>
  <c r="AA211" i="33"/>
  <c r="AA210" i="33"/>
  <c r="AA209" i="33"/>
  <c r="AA208" i="33"/>
  <c r="AA207" i="33"/>
  <c r="AA206" i="33"/>
  <c r="AA205" i="33"/>
  <c r="AA204" i="33"/>
  <c r="AA203" i="33"/>
  <c r="AA202" i="33"/>
  <c r="AA201" i="33"/>
  <c r="AA200" i="33"/>
  <c r="AA199" i="33"/>
  <c r="AA198" i="33"/>
  <c r="AA197" i="33"/>
  <c r="AA196" i="33"/>
  <c r="AA195" i="33"/>
  <c r="AA194" i="33"/>
  <c r="AA193" i="33"/>
  <c r="AA192" i="33"/>
  <c r="AA191" i="33"/>
  <c r="AA190" i="33"/>
  <c r="AA189" i="33"/>
  <c r="AA188" i="33"/>
  <c r="AA187" i="33"/>
  <c r="AA186" i="33"/>
  <c r="AA185" i="33"/>
  <c r="AA184" i="33"/>
  <c r="AA183" i="33"/>
  <c r="AA182" i="33"/>
  <c r="AA181" i="33"/>
  <c r="AA180" i="33"/>
  <c r="AA179" i="33"/>
  <c r="AA178" i="33"/>
  <c r="AA177" i="33"/>
  <c r="AA176" i="33"/>
  <c r="AA175" i="33"/>
  <c r="AA174" i="33"/>
  <c r="AA173" i="33"/>
  <c r="AA172" i="33"/>
  <c r="AA171" i="33"/>
  <c r="AA170" i="33"/>
  <c r="AA169" i="33"/>
  <c r="AA168" i="33"/>
  <c r="AA167" i="33"/>
  <c r="AA166" i="33"/>
  <c r="AA165" i="33"/>
  <c r="AA164" i="33"/>
  <c r="AA163" i="33"/>
  <c r="AA162" i="33"/>
  <c r="AA161" i="33"/>
  <c r="AA160" i="33"/>
  <c r="AA159" i="33"/>
  <c r="AA158" i="33"/>
  <c r="AA157" i="33"/>
  <c r="AA156" i="33"/>
  <c r="AA155" i="33"/>
  <c r="AA154" i="33"/>
  <c r="AA153" i="33"/>
  <c r="AA152" i="33"/>
  <c r="AA151" i="33"/>
  <c r="AA150" i="33"/>
  <c r="AA149" i="33"/>
  <c r="AA148" i="33"/>
  <c r="AA147" i="33"/>
  <c r="AA146" i="33"/>
  <c r="AA145" i="33"/>
  <c r="AA144" i="33"/>
  <c r="AA143" i="33"/>
  <c r="AA142" i="33"/>
  <c r="AA141" i="33"/>
  <c r="AA140" i="33"/>
  <c r="AA139" i="33"/>
  <c r="AA138" i="33"/>
  <c r="AA137" i="33"/>
  <c r="AA136" i="33"/>
  <c r="AA135" i="33"/>
  <c r="AA134" i="33"/>
  <c r="AA133" i="33"/>
  <c r="AA132" i="33"/>
  <c r="AA131" i="33"/>
  <c r="AA130" i="33"/>
  <c r="AA129" i="33"/>
  <c r="AA128" i="33"/>
  <c r="AA127" i="33"/>
  <c r="AA126" i="33"/>
  <c r="AA125" i="33"/>
  <c r="AA124" i="33"/>
  <c r="AA123" i="33"/>
  <c r="AA122" i="33"/>
  <c r="AA121" i="33"/>
  <c r="AA120" i="33"/>
  <c r="AA119" i="33"/>
  <c r="AA118" i="33"/>
  <c r="AA117" i="33"/>
  <c r="AA116" i="33"/>
  <c r="AA115" i="33"/>
  <c r="AA114" i="33"/>
  <c r="AA113" i="33"/>
  <c r="AA112" i="33"/>
  <c r="AA111" i="33"/>
  <c r="AA110" i="33"/>
  <c r="AA109" i="33"/>
  <c r="AA108" i="33"/>
  <c r="AA107" i="33"/>
  <c r="AA106" i="33"/>
  <c r="AA105" i="33"/>
  <c r="AA104" i="33"/>
  <c r="AA103" i="33"/>
  <c r="AA102" i="33"/>
  <c r="AA101" i="33"/>
  <c r="AA100" i="33"/>
  <c r="AA99" i="33"/>
  <c r="AA98" i="33"/>
  <c r="AA97" i="33"/>
  <c r="AA96" i="33"/>
  <c r="AA95" i="33"/>
  <c r="AA94" i="33"/>
  <c r="AA93" i="33"/>
  <c r="AA92" i="33"/>
  <c r="AA91" i="33"/>
  <c r="AA90" i="33"/>
  <c r="AA89" i="33"/>
  <c r="AA88" i="33"/>
  <c r="AA87" i="33"/>
  <c r="AA86" i="33"/>
  <c r="AA85" i="33"/>
  <c r="AA84" i="33"/>
  <c r="AA83" i="33"/>
  <c r="AA82" i="33"/>
  <c r="AA81" i="33"/>
  <c r="AA80" i="33"/>
  <c r="AA79" i="33"/>
  <c r="AA78" i="33"/>
  <c r="AA77" i="33"/>
  <c r="AA76" i="33"/>
  <c r="AA75" i="33"/>
  <c r="AA74" i="33"/>
  <c r="AA73" i="33"/>
  <c r="AA72" i="33"/>
  <c r="AA71" i="33"/>
  <c r="AA70" i="33"/>
  <c r="AA69" i="33"/>
  <c r="AA68" i="33"/>
  <c r="AA67" i="33"/>
  <c r="AA66" i="33"/>
  <c r="AA65" i="33"/>
  <c r="AA64" i="33"/>
  <c r="AA63" i="33"/>
  <c r="AA62" i="33"/>
  <c r="AA61" i="33"/>
  <c r="AA60" i="33"/>
  <c r="AA59" i="33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34" i="33"/>
  <c r="AA33" i="33"/>
  <c r="AA32" i="33"/>
  <c r="AA31" i="33"/>
  <c r="AA30" i="33"/>
  <c r="AA29" i="33"/>
  <c r="AA28" i="33"/>
  <c r="AA27" i="33"/>
  <c r="AA26" i="33"/>
  <c r="AA25" i="33"/>
  <c r="AA24" i="33"/>
  <c r="AA23" i="33"/>
  <c r="AA22" i="33"/>
  <c r="AA21" i="33"/>
  <c r="AA20" i="33"/>
  <c r="AA19" i="33"/>
  <c r="AA18" i="33"/>
  <c r="AA17" i="33"/>
  <c r="AA16" i="33"/>
  <c r="AA15" i="33"/>
  <c r="AA14" i="33"/>
  <c r="AA13" i="33"/>
  <c r="AA12" i="33"/>
  <c r="AA11" i="33"/>
  <c r="AA10" i="33"/>
  <c r="AA9" i="33"/>
  <c r="AA8" i="33"/>
  <c r="AA7" i="33"/>
  <c r="AA6" i="33"/>
  <c r="AA5" i="33"/>
  <c r="AA4" i="33"/>
  <c r="AA3" i="33"/>
  <c r="AD363" i="33"/>
  <c r="AG32" i="25"/>
  <c r="AG36" i="25"/>
  <c r="AA32" i="25"/>
  <c r="AA36" i="25"/>
  <c r="R39" i="26"/>
  <c r="Q38" i="26"/>
  <c r="R27" i="26"/>
  <c r="Q28" i="26"/>
  <c r="V87" i="26"/>
  <c r="U86" i="26"/>
  <c r="I88" i="16"/>
  <c r="I87" i="16"/>
  <c r="I86" i="16"/>
  <c r="I85" i="16"/>
  <c r="I84" i="16"/>
  <c r="I83" i="16"/>
  <c r="I82" i="16"/>
  <c r="I81" i="16"/>
  <c r="I80" i="16"/>
  <c r="I79" i="16"/>
  <c r="I78" i="16"/>
  <c r="I77" i="16"/>
  <c r="AB29" i="25"/>
  <c r="BN184" i="25"/>
  <c r="AB28" i="25"/>
  <c r="AB34" i="25"/>
  <c r="BW200" i="25"/>
  <c r="AB33" i="25"/>
  <c r="AF32" i="25"/>
  <c r="AF36" i="25"/>
  <c r="AD36" i="25"/>
  <c r="AD32" i="25"/>
  <c r="AH32" i="25"/>
  <c r="AH36" i="25"/>
  <c r="F93" i="16"/>
  <c r="F92" i="16"/>
  <c r="F91" i="16"/>
  <c r="F90" i="16"/>
  <c r="V40" i="26"/>
  <c r="U39" i="26"/>
  <c r="R88" i="26"/>
  <c r="Q87" i="26"/>
  <c r="T24" i="26"/>
  <c r="V26" i="26"/>
  <c r="U27" i="26"/>
  <c r="AA38" i="25"/>
  <c r="AA5" i="25"/>
  <c r="AG38" i="25"/>
  <c r="AG5" i="25"/>
  <c r="AG363" i="33"/>
  <c r="AD362" i="33"/>
  <c r="AD361" i="33"/>
  <c r="AD360" i="33"/>
  <c r="AD359" i="33"/>
  <c r="AD358" i="33"/>
  <c r="AD357" i="33"/>
  <c r="AD356" i="33"/>
  <c r="AD355" i="33"/>
  <c r="AD354" i="33"/>
  <c r="AD353" i="33"/>
  <c r="AD352" i="33"/>
  <c r="AD351" i="33"/>
  <c r="AD350" i="33"/>
  <c r="AD349" i="33"/>
  <c r="AD348" i="33"/>
  <c r="AD347" i="33"/>
  <c r="AD346" i="33"/>
  <c r="AD345" i="33"/>
  <c r="AD344" i="33"/>
  <c r="AD343" i="33"/>
  <c r="AD342" i="33"/>
  <c r="AD341" i="33"/>
  <c r="AD340" i="33"/>
  <c r="AD339" i="33"/>
  <c r="AD338" i="33"/>
  <c r="AD337" i="33"/>
  <c r="AD336" i="33"/>
  <c r="AD335" i="33"/>
  <c r="AD334" i="33"/>
  <c r="AD333" i="33"/>
  <c r="AD332" i="33"/>
  <c r="AD331" i="33"/>
  <c r="AD330" i="33"/>
  <c r="AD329" i="33"/>
  <c r="AD328" i="33"/>
  <c r="AD327" i="33"/>
  <c r="AD326" i="33"/>
  <c r="AD325" i="33"/>
  <c r="AD324" i="33"/>
  <c r="AD323" i="33"/>
  <c r="AD322" i="33"/>
  <c r="AD321" i="33"/>
  <c r="AD320" i="33"/>
  <c r="AD319" i="33"/>
  <c r="AD318" i="33"/>
  <c r="AD317" i="33"/>
  <c r="AD316" i="33"/>
  <c r="AD315" i="33"/>
  <c r="AD314" i="33"/>
  <c r="AD313" i="33"/>
  <c r="AD312" i="33"/>
  <c r="AD311" i="33"/>
  <c r="AD310" i="33"/>
  <c r="AD309" i="33"/>
  <c r="AD308" i="33"/>
  <c r="AD307" i="33"/>
  <c r="AD306" i="33"/>
  <c r="AD305" i="33"/>
  <c r="AD304" i="33"/>
  <c r="AD303" i="33"/>
  <c r="AD302" i="33"/>
  <c r="AD301" i="33"/>
  <c r="AD300" i="33"/>
  <c r="AD299" i="33"/>
  <c r="AD298" i="33"/>
  <c r="AD297" i="33"/>
  <c r="AD296" i="33"/>
  <c r="AD295" i="33"/>
  <c r="AD294" i="33"/>
  <c r="AD293" i="33"/>
  <c r="AD292" i="33"/>
  <c r="AD291" i="33"/>
  <c r="AD290" i="33"/>
  <c r="AD289" i="33"/>
  <c r="AD288" i="33"/>
  <c r="AD287" i="33"/>
  <c r="AD286" i="33"/>
  <c r="AD285" i="33"/>
  <c r="AD284" i="33"/>
  <c r="AD283" i="33"/>
  <c r="AD282" i="33"/>
  <c r="AD281" i="33"/>
  <c r="AD280" i="33"/>
  <c r="AD279" i="33"/>
  <c r="AD278" i="33"/>
  <c r="AD277" i="33"/>
  <c r="AD276" i="33"/>
  <c r="AD275" i="33"/>
  <c r="AD274" i="33"/>
  <c r="AD273" i="33"/>
  <c r="AD272" i="33"/>
  <c r="AD271" i="33"/>
  <c r="AD270" i="33"/>
  <c r="AD269" i="33"/>
  <c r="AD268" i="33"/>
  <c r="AD267" i="33"/>
  <c r="AD266" i="33"/>
  <c r="AD265" i="33"/>
  <c r="AD264" i="33"/>
  <c r="AD263" i="33"/>
  <c r="AD262" i="33"/>
  <c r="AD261" i="33"/>
  <c r="AD260" i="33"/>
  <c r="AD259" i="33"/>
  <c r="AD258" i="33"/>
  <c r="AD257" i="33"/>
  <c r="AD256" i="33"/>
  <c r="AD255" i="33"/>
  <c r="AD254" i="33"/>
  <c r="AD253" i="33"/>
  <c r="AD252" i="33"/>
  <c r="AD251" i="33"/>
  <c r="AD250" i="33"/>
  <c r="AD249" i="33"/>
  <c r="AD248" i="33"/>
  <c r="AD247" i="33"/>
  <c r="AD246" i="33"/>
  <c r="AD245" i="33"/>
  <c r="AD244" i="33"/>
  <c r="AD243" i="33"/>
  <c r="AD242" i="33"/>
  <c r="AD241" i="33"/>
  <c r="AD240" i="33"/>
  <c r="AD239" i="33"/>
  <c r="AD238" i="33"/>
  <c r="AD237" i="33"/>
  <c r="AD236" i="33"/>
  <c r="AD235" i="33"/>
  <c r="AD234" i="33"/>
  <c r="AD233" i="33"/>
  <c r="AD232" i="33"/>
  <c r="AD231" i="33"/>
  <c r="AD230" i="33"/>
  <c r="AD229" i="33"/>
  <c r="AD228" i="33"/>
  <c r="AD227" i="33"/>
  <c r="AD226" i="33"/>
  <c r="AD225" i="33"/>
  <c r="AD224" i="33"/>
  <c r="AD223" i="33"/>
  <c r="AD222" i="33"/>
  <c r="AD221" i="33"/>
  <c r="AD220" i="33"/>
  <c r="AD219" i="33"/>
  <c r="AD218" i="33"/>
  <c r="AD217" i="33"/>
  <c r="AD216" i="33"/>
  <c r="AD215" i="33"/>
  <c r="AD214" i="33"/>
  <c r="AD213" i="33"/>
  <c r="AD212" i="33"/>
  <c r="AD211" i="33"/>
  <c r="AD210" i="33"/>
  <c r="AD209" i="33"/>
  <c r="AD208" i="33"/>
  <c r="AD207" i="33"/>
  <c r="AD206" i="33"/>
  <c r="AD205" i="33"/>
  <c r="AD204" i="33"/>
  <c r="AD203" i="33"/>
  <c r="AD202" i="33"/>
  <c r="AD201" i="33"/>
  <c r="AD200" i="33"/>
  <c r="AD199" i="33"/>
  <c r="AD198" i="33"/>
  <c r="AD197" i="33"/>
  <c r="AD196" i="33"/>
  <c r="AD195" i="33"/>
  <c r="AD194" i="33"/>
  <c r="AD193" i="33"/>
  <c r="AD192" i="33"/>
  <c r="AD191" i="33"/>
  <c r="AD190" i="33"/>
  <c r="AD189" i="33"/>
  <c r="AD188" i="33"/>
  <c r="AD187" i="33"/>
  <c r="AD186" i="33"/>
  <c r="AD185" i="33"/>
  <c r="AD184" i="33"/>
  <c r="AD183" i="33"/>
  <c r="AD182" i="33"/>
  <c r="AD181" i="33"/>
  <c r="AD180" i="33"/>
  <c r="AD179" i="33"/>
  <c r="AD178" i="33"/>
  <c r="AD177" i="33"/>
  <c r="AD176" i="33"/>
  <c r="AD175" i="33"/>
  <c r="AD174" i="33"/>
  <c r="AD173" i="33"/>
  <c r="AD172" i="33"/>
  <c r="AD171" i="33"/>
  <c r="AD170" i="33"/>
  <c r="AD169" i="33"/>
  <c r="AD168" i="33"/>
  <c r="AD167" i="33"/>
  <c r="AD166" i="33"/>
  <c r="AD165" i="33"/>
  <c r="AD164" i="33"/>
  <c r="AD163" i="33"/>
  <c r="AD162" i="33"/>
  <c r="AD161" i="33"/>
  <c r="AD160" i="33"/>
  <c r="AD159" i="33"/>
  <c r="AD158" i="33"/>
  <c r="AD157" i="33"/>
  <c r="AD156" i="33"/>
  <c r="AD155" i="33"/>
  <c r="AD154" i="33"/>
  <c r="AD153" i="33"/>
  <c r="AD152" i="33"/>
  <c r="AD151" i="33"/>
  <c r="AD150" i="33"/>
  <c r="AD149" i="33"/>
  <c r="AD148" i="33"/>
  <c r="AD147" i="33"/>
  <c r="AD146" i="33"/>
  <c r="AD145" i="33"/>
  <c r="AD144" i="33"/>
  <c r="AD143" i="33"/>
  <c r="AD142" i="33"/>
  <c r="AD141" i="33"/>
  <c r="AD140" i="33"/>
  <c r="AD139" i="33"/>
  <c r="AD138" i="33"/>
  <c r="AD137" i="33"/>
  <c r="AD136" i="33"/>
  <c r="AD135" i="33"/>
  <c r="AD134" i="33"/>
  <c r="AD133" i="33"/>
  <c r="AD132" i="33"/>
  <c r="AD131" i="33"/>
  <c r="AD130" i="33"/>
  <c r="AD129" i="33"/>
  <c r="AD128" i="33"/>
  <c r="AD127" i="33"/>
  <c r="AD126" i="33"/>
  <c r="AD125" i="33"/>
  <c r="AD124" i="33"/>
  <c r="AD123" i="33"/>
  <c r="AD122" i="33"/>
  <c r="AD121" i="33"/>
  <c r="AD120" i="33"/>
  <c r="AD119" i="33"/>
  <c r="AD118" i="33"/>
  <c r="AD117" i="33"/>
  <c r="AD116" i="33"/>
  <c r="AD115" i="33"/>
  <c r="AD114" i="33"/>
  <c r="AD113" i="33"/>
  <c r="AD112" i="33"/>
  <c r="AD111" i="33"/>
  <c r="AD110" i="33"/>
  <c r="AD109" i="33"/>
  <c r="AD108" i="33"/>
  <c r="AD107" i="33"/>
  <c r="AD106" i="33"/>
  <c r="AD105" i="33"/>
  <c r="AD104" i="33"/>
  <c r="AD103" i="33"/>
  <c r="AD102" i="33"/>
  <c r="AD101" i="33"/>
  <c r="AD100" i="33"/>
  <c r="AD99" i="33"/>
  <c r="AD98" i="33"/>
  <c r="AD97" i="33"/>
  <c r="AD96" i="33"/>
  <c r="AD95" i="33"/>
  <c r="AD94" i="33"/>
  <c r="AD93" i="33"/>
  <c r="AD92" i="33"/>
  <c r="AD91" i="33"/>
  <c r="AD90" i="33"/>
  <c r="AD89" i="33"/>
  <c r="AD88" i="33"/>
  <c r="AD87" i="33"/>
  <c r="AD86" i="33"/>
  <c r="AD85" i="33"/>
  <c r="AD84" i="33"/>
  <c r="AD83" i="33"/>
  <c r="AD82" i="33"/>
  <c r="AD81" i="33"/>
  <c r="AD80" i="33"/>
  <c r="AD79" i="33"/>
  <c r="AD78" i="33"/>
  <c r="AD77" i="33"/>
  <c r="AD76" i="33"/>
  <c r="AD75" i="33"/>
  <c r="AD74" i="33"/>
  <c r="AD73" i="33"/>
  <c r="AD72" i="33"/>
  <c r="AD71" i="33"/>
  <c r="AD70" i="33"/>
  <c r="AD69" i="33"/>
  <c r="AD68" i="33"/>
  <c r="AD67" i="33"/>
  <c r="AD66" i="33"/>
  <c r="AD65" i="33"/>
  <c r="AD64" i="33"/>
  <c r="AD63" i="33"/>
  <c r="AD62" i="33"/>
  <c r="AD61" i="33"/>
  <c r="AD60" i="33"/>
  <c r="AD59" i="33"/>
  <c r="AD58" i="33"/>
  <c r="AD57" i="33"/>
  <c r="AD56" i="33"/>
  <c r="AD55" i="33"/>
  <c r="AD54" i="33"/>
  <c r="AD53" i="33"/>
  <c r="AD52" i="33"/>
  <c r="AD51" i="33"/>
  <c r="AD50" i="33"/>
  <c r="AD49" i="33"/>
  <c r="AD48" i="33"/>
  <c r="AD47" i="33"/>
  <c r="AD46" i="33"/>
  <c r="AD45" i="33"/>
  <c r="AD44" i="33"/>
  <c r="AD43" i="33"/>
  <c r="AD42" i="33"/>
  <c r="AD41" i="33"/>
  <c r="AD40" i="33"/>
  <c r="AD39" i="33"/>
  <c r="AD38" i="33"/>
  <c r="AD37" i="33"/>
  <c r="AD36" i="33"/>
  <c r="AD35" i="33"/>
  <c r="AD34" i="33"/>
  <c r="AD33" i="33"/>
  <c r="AD32" i="33"/>
  <c r="AD31" i="33"/>
  <c r="AD30" i="33"/>
  <c r="AD29" i="33"/>
  <c r="AD28" i="33"/>
  <c r="AD27" i="33"/>
  <c r="AD26" i="33"/>
  <c r="AD25" i="33"/>
  <c r="AD24" i="33"/>
  <c r="AD23" i="33"/>
  <c r="AD22" i="33"/>
  <c r="AD21" i="33"/>
  <c r="AD20" i="33"/>
  <c r="AD19" i="33"/>
  <c r="AD18" i="33"/>
  <c r="AD17" i="33"/>
  <c r="AD16" i="33"/>
  <c r="AD15" i="33"/>
  <c r="AD14" i="33"/>
  <c r="AD13" i="33"/>
  <c r="AD12" i="33"/>
  <c r="AD11" i="33"/>
  <c r="AD10" i="33"/>
  <c r="AD9" i="33"/>
  <c r="AD8" i="33"/>
  <c r="AD7" i="33"/>
  <c r="AD6" i="33"/>
  <c r="AD5" i="33"/>
  <c r="AD4" i="33"/>
  <c r="AD3" i="33"/>
  <c r="AC38" i="25"/>
  <c r="AC5" i="25"/>
  <c r="AE38" i="25"/>
  <c r="AE5" i="25"/>
  <c r="AB362" i="33"/>
  <c r="AB361" i="33"/>
  <c r="AB360" i="33"/>
  <c r="AB359" i="33"/>
  <c r="AB358" i="33"/>
  <c r="AB357" i="33"/>
  <c r="AB356" i="33"/>
  <c r="AB355" i="33"/>
  <c r="AB354" i="33"/>
  <c r="AB353" i="33"/>
  <c r="AB352" i="33"/>
  <c r="AB351" i="33"/>
  <c r="AB350" i="33"/>
  <c r="AB349" i="33"/>
  <c r="AB348" i="33"/>
  <c r="AB347" i="33"/>
  <c r="AB346" i="33"/>
  <c r="AB345" i="33"/>
  <c r="AB344" i="33"/>
  <c r="AB343" i="33"/>
  <c r="AB342" i="33"/>
  <c r="AB341" i="33"/>
  <c r="AB340" i="33"/>
  <c r="AB339" i="33"/>
  <c r="AB338" i="33"/>
  <c r="AB337" i="33"/>
  <c r="AB336" i="33"/>
  <c r="AB335" i="33"/>
  <c r="AB334" i="33"/>
  <c r="AB333" i="33"/>
  <c r="AB332" i="33"/>
  <c r="AB331" i="33"/>
  <c r="AB330" i="33"/>
  <c r="AB329" i="33"/>
  <c r="AB328" i="33"/>
  <c r="AB327" i="33"/>
  <c r="AB326" i="33"/>
  <c r="AB325" i="33"/>
  <c r="AB324" i="33"/>
  <c r="AB323" i="33"/>
  <c r="AB322" i="33"/>
  <c r="AB321" i="33"/>
  <c r="AB320" i="33"/>
  <c r="AB319" i="33"/>
  <c r="AB318" i="33"/>
  <c r="AB317" i="33"/>
  <c r="AB316" i="33"/>
  <c r="AB315" i="33"/>
  <c r="AB314" i="33"/>
  <c r="AB313" i="33"/>
  <c r="AB312" i="33"/>
  <c r="AB311" i="33"/>
  <c r="AB310" i="33"/>
  <c r="AB309" i="33"/>
  <c r="AB308" i="33"/>
  <c r="AB307" i="33"/>
  <c r="AB306" i="33"/>
  <c r="AB305" i="33"/>
  <c r="AB304" i="33"/>
  <c r="AB303" i="33"/>
  <c r="AB302" i="33"/>
  <c r="AB301" i="33"/>
  <c r="AB300" i="33"/>
  <c r="AB299" i="33"/>
  <c r="AB298" i="33"/>
  <c r="AB297" i="33"/>
  <c r="AB296" i="33"/>
  <c r="AB295" i="33"/>
  <c r="AB294" i="33"/>
  <c r="AB293" i="33"/>
  <c r="AB292" i="33"/>
  <c r="AB291" i="33"/>
  <c r="AB290" i="33"/>
  <c r="AB289" i="33"/>
  <c r="AB288" i="33"/>
  <c r="AB287" i="33"/>
  <c r="AB286" i="33"/>
  <c r="AB285" i="33"/>
  <c r="AB284" i="33"/>
  <c r="AB283" i="33"/>
  <c r="AB282" i="33"/>
  <c r="AB281" i="33"/>
  <c r="AB280" i="33"/>
  <c r="AB279" i="33"/>
  <c r="AB278" i="33"/>
  <c r="AB277" i="33"/>
  <c r="AB276" i="33"/>
  <c r="AB275" i="33"/>
  <c r="AB274" i="33"/>
  <c r="AB273" i="33"/>
  <c r="AB272" i="33"/>
  <c r="AB271" i="33"/>
  <c r="AB270" i="33"/>
  <c r="AB269" i="33"/>
  <c r="AB268" i="33"/>
  <c r="AB267" i="33"/>
  <c r="AB266" i="33"/>
  <c r="AB265" i="33"/>
  <c r="AB264" i="33"/>
  <c r="AB263" i="33"/>
  <c r="AB262" i="33"/>
  <c r="AB261" i="33"/>
  <c r="AB260" i="33"/>
  <c r="AB259" i="33"/>
  <c r="AB258" i="33"/>
  <c r="AB257" i="33"/>
  <c r="AB256" i="33"/>
  <c r="AB255" i="33"/>
  <c r="AB254" i="33"/>
  <c r="AB253" i="33"/>
  <c r="AB252" i="33"/>
  <c r="AB251" i="33"/>
  <c r="AB250" i="33"/>
  <c r="AB249" i="33"/>
  <c r="AB248" i="33"/>
  <c r="AB247" i="33"/>
  <c r="AB246" i="33"/>
  <c r="AB245" i="33"/>
  <c r="AB244" i="33"/>
  <c r="AB243" i="33"/>
  <c r="AB242" i="33"/>
  <c r="AB241" i="33"/>
  <c r="AB240" i="33"/>
  <c r="AB239" i="33"/>
  <c r="AB238" i="33"/>
  <c r="AB237" i="33"/>
  <c r="AB236" i="33"/>
  <c r="AB235" i="33"/>
  <c r="AB234" i="33"/>
  <c r="AB233" i="33"/>
  <c r="AB232" i="33"/>
  <c r="AB231" i="33"/>
  <c r="AB230" i="33"/>
  <c r="AB229" i="33"/>
  <c r="AB228" i="33"/>
  <c r="AB227" i="33"/>
  <c r="AB226" i="33"/>
  <c r="AB225" i="33"/>
  <c r="AB224" i="33"/>
  <c r="AB223" i="33"/>
  <c r="AB222" i="33"/>
  <c r="AB221" i="33"/>
  <c r="AB220" i="33"/>
  <c r="AB219" i="33"/>
  <c r="AB218" i="33"/>
  <c r="AB217" i="33"/>
  <c r="AB216" i="33"/>
  <c r="AB215" i="33"/>
  <c r="AB214" i="33"/>
  <c r="AB213" i="33"/>
  <c r="AB212" i="33"/>
  <c r="AB211" i="33"/>
  <c r="AB210" i="33"/>
  <c r="AB209" i="33"/>
  <c r="AB208" i="33"/>
  <c r="AB207" i="33"/>
  <c r="AB206" i="33"/>
  <c r="AB205" i="33"/>
  <c r="AB204" i="33"/>
  <c r="AB203" i="33"/>
  <c r="AB202" i="33"/>
  <c r="AB201" i="33"/>
  <c r="AB200" i="33"/>
  <c r="AB199" i="33"/>
  <c r="AB198" i="33"/>
  <c r="AB197" i="33"/>
  <c r="AB196" i="33"/>
  <c r="AB195" i="33"/>
  <c r="AB194" i="33"/>
  <c r="AB193" i="33"/>
  <c r="AB192" i="33"/>
  <c r="AB191" i="33"/>
  <c r="AB190" i="33"/>
  <c r="AB189" i="33"/>
  <c r="AB188" i="33"/>
  <c r="AB187" i="33"/>
  <c r="AB186" i="33"/>
  <c r="AB185" i="33"/>
  <c r="AB184" i="33"/>
  <c r="AB183" i="33"/>
  <c r="AB182" i="33"/>
  <c r="AB181" i="33"/>
  <c r="AB180" i="33"/>
  <c r="AB179" i="33"/>
  <c r="AB178" i="33"/>
  <c r="AB177" i="33"/>
  <c r="AB176" i="33"/>
  <c r="AB175" i="33"/>
  <c r="AB174" i="33"/>
  <c r="AB173" i="33"/>
  <c r="AB172" i="33"/>
  <c r="AB171" i="33"/>
  <c r="AB170" i="33"/>
  <c r="AB169" i="33"/>
  <c r="AB168" i="33"/>
  <c r="AB167" i="33"/>
  <c r="AB166" i="33"/>
  <c r="AB165" i="33"/>
  <c r="AB164" i="33"/>
  <c r="AB163" i="33"/>
  <c r="AB162" i="33"/>
  <c r="AB161" i="33"/>
  <c r="AB160" i="33"/>
  <c r="AB159" i="33"/>
  <c r="AB158" i="33"/>
  <c r="AB157" i="33"/>
  <c r="AB156" i="33"/>
  <c r="AB155" i="33"/>
  <c r="AB154" i="33"/>
  <c r="AB153" i="33"/>
  <c r="AB152" i="33"/>
  <c r="AB151" i="33"/>
  <c r="AB150" i="33"/>
  <c r="AB149" i="33"/>
  <c r="AB148" i="33"/>
  <c r="AB147" i="33"/>
  <c r="AB146" i="33"/>
  <c r="AB145" i="33"/>
  <c r="AB144" i="33"/>
  <c r="AB143" i="33"/>
  <c r="AB142" i="33"/>
  <c r="AB141" i="33"/>
  <c r="AB140" i="33"/>
  <c r="AB139" i="33"/>
  <c r="AB138" i="33"/>
  <c r="AB137" i="33"/>
  <c r="AB136" i="33"/>
  <c r="AB135" i="33"/>
  <c r="AB134" i="33"/>
  <c r="AB133" i="33"/>
  <c r="AB132" i="33"/>
  <c r="AB131" i="33"/>
  <c r="AB130" i="33"/>
  <c r="AB129" i="33"/>
  <c r="AB128" i="33"/>
  <c r="AB127" i="33"/>
  <c r="AB126" i="33"/>
  <c r="AB125" i="33"/>
  <c r="AB124" i="33"/>
  <c r="AB123" i="33"/>
  <c r="AB122" i="33"/>
  <c r="AB121" i="33"/>
  <c r="AB120" i="33"/>
  <c r="AB119" i="33"/>
  <c r="AB118" i="33"/>
  <c r="AB117" i="33"/>
  <c r="AB116" i="33"/>
  <c r="AB115" i="33"/>
  <c r="AB114" i="33"/>
  <c r="AB113" i="33"/>
  <c r="AB112" i="33"/>
  <c r="AB111" i="33"/>
  <c r="AB110" i="33"/>
  <c r="AB109" i="33"/>
  <c r="AB108" i="33"/>
  <c r="AB107" i="33"/>
  <c r="AB106" i="33"/>
  <c r="AB105" i="33"/>
  <c r="AB104" i="33"/>
  <c r="AB103" i="33"/>
  <c r="AB102" i="33"/>
  <c r="AB101" i="33"/>
  <c r="AB100" i="33"/>
  <c r="AB99" i="33"/>
  <c r="AB98" i="33"/>
  <c r="AB97" i="33"/>
  <c r="AB96" i="33"/>
  <c r="AB95" i="33"/>
  <c r="AB94" i="33"/>
  <c r="AB93" i="33"/>
  <c r="AB92" i="33"/>
  <c r="AB91" i="33"/>
  <c r="AB90" i="33"/>
  <c r="AB89" i="33"/>
  <c r="AB88" i="33"/>
  <c r="AB87" i="33"/>
  <c r="AB86" i="33"/>
  <c r="AB85" i="33"/>
  <c r="AB84" i="33"/>
  <c r="AB83" i="33"/>
  <c r="AB82" i="33"/>
  <c r="AB81" i="33"/>
  <c r="AB80" i="33"/>
  <c r="AB79" i="33"/>
  <c r="AB78" i="33"/>
  <c r="AB77" i="33"/>
  <c r="AB76" i="33"/>
  <c r="AB75" i="33"/>
  <c r="AB74" i="33"/>
  <c r="AB73" i="33"/>
  <c r="AB72" i="33"/>
  <c r="AB71" i="33"/>
  <c r="AB70" i="33"/>
  <c r="AB69" i="33"/>
  <c r="AB68" i="33"/>
  <c r="AB67" i="33"/>
  <c r="AB66" i="33"/>
  <c r="AB65" i="33"/>
  <c r="AB64" i="33"/>
  <c r="AB63" i="33"/>
  <c r="AB62" i="33"/>
  <c r="AB61" i="33"/>
  <c r="AB60" i="33"/>
  <c r="AB59" i="33"/>
  <c r="AB58" i="33"/>
  <c r="AB57" i="33"/>
  <c r="AB56" i="33"/>
  <c r="AB55" i="33"/>
  <c r="AB54" i="33"/>
  <c r="AB53" i="33"/>
  <c r="AB52" i="33"/>
  <c r="AB51" i="33"/>
  <c r="AB50" i="33"/>
  <c r="AB49" i="33"/>
  <c r="AB48" i="33"/>
  <c r="AB47" i="33"/>
  <c r="AB46" i="33"/>
  <c r="AB45" i="33"/>
  <c r="AB44" i="33"/>
  <c r="AB43" i="33"/>
  <c r="AB42" i="33"/>
  <c r="AB41" i="33"/>
  <c r="AB40" i="33"/>
  <c r="AB39" i="33"/>
  <c r="AB38" i="33"/>
  <c r="AB37" i="33"/>
  <c r="AB36" i="33"/>
  <c r="AB35" i="33"/>
  <c r="AB34" i="33"/>
  <c r="AB33" i="33"/>
  <c r="AB32" i="33"/>
  <c r="AB31" i="33"/>
  <c r="AB30" i="33"/>
  <c r="AB29" i="33"/>
  <c r="AB28" i="33"/>
  <c r="AB27" i="33"/>
  <c r="AB26" i="33"/>
  <c r="AB25" i="33"/>
  <c r="AB24" i="33"/>
  <c r="AB23" i="33"/>
  <c r="AB22" i="33"/>
  <c r="AB21" i="33"/>
  <c r="AB20" i="33"/>
  <c r="AB19" i="33"/>
  <c r="AB18" i="33"/>
  <c r="AB17" i="33"/>
  <c r="AB16" i="33"/>
  <c r="AB15" i="33"/>
  <c r="AB14" i="33"/>
  <c r="AB13" i="33"/>
  <c r="AB12" i="33"/>
  <c r="AB11" i="33"/>
  <c r="AB10" i="33"/>
  <c r="AB9" i="33"/>
  <c r="AB8" i="33"/>
  <c r="AB7" i="33"/>
  <c r="AB6" i="33"/>
  <c r="AB5" i="33"/>
  <c r="AB4" i="33"/>
  <c r="AB3" i="33"/>
  <c r="AE363" i="33"/>
  <c r="AB32" i="25"/>
  <c r="AB36" i="25"/>
  <c r="I76" i="16"/>
  <c r="I75" i="16"/>
  <c r="I74" i="16"/>
  <c r="V88" i="26"/>
  <c r="U87" i="26"/>
  <c r="R26" i="26"/>
  <c r="Q27" i="26"/>
  <c r="R40" i="26"/>
  <c r="Q39" i="26"/>
  <c r="AA81" i="25"/>
  <c r="AA83" i="25"/>
  <c r="AA7" i="25"/>
  <c r="AG7" i="25"/>
  <c r="AG81" i="25"/>
  <c r="AG83" i="25"/>
  <c r="AH38" i="25"/>
  <c r="AH5" i="25"/>
  <c r="AF38" i="25"/>
  <c r="AF5" i="25"/>
  <c r="AB38" i="25"/>
  <c r="AB5" i="25"/>
  <c r="AE362" i="33"/>
  <c r="AE361" i="33"/>
  <c r="AE360" i="33"/>
  <c r="AE359" i="33"/>
  <c r="AE358" i="33"/>
  <c r="AE357" i="33"/>
  <c r="AE356" i="33"/>
  <c r="AE355" i="33"/>
  <c r="AE354" i="33"/>
  <c r="AE353" i="33"/>
  <c r="AE352" i="33"/>
  <c r="AE351" i="33"/>
  <c r="AE350" i="33"/>
  <c r="AE349" i="33"/>
  <c r="AE348" i="33"/>
  <c r="AE347" i="33"/>
  <c r="AE346" i="33"/>
  <c r="AE345" i="33"/>
  <c r="AE344" i="33"/>
  <c r="AE343" i="33"/>
  <c r="AE342" i="33"/>
  <c r="AE341" i="33"/>
  <c r="AE340" i="33"/>
  <c r="AE339" i="33"/>
  <c r="AE338" i="33"/>
  <c r="AE337" i="33"/>
  <c r="AE336" i="33"/>
  <c r="AE335" i="33"/>
  <c r="AE334" i="33"/>
  <c r="AE333" i="33"/>
  <c r="AE332" i="33"/>
  <c r="AE331" i="33"/>
  <c r="AE330" i="33"/>
  <c r="AE329" i="33"/>
  <c r="AE328" i="33"/>
  <c r="AE327" i="33"/>
  <c r="AE326" i="33"/>
  <c r="AE325" i="33"/>
  <c r="AE324" i="33"/>
  <c r="AE323" i="33"/>
  <c r="AE322" i="33"/>
  <c r="AE321" i="33"/>
  <c r="AE320" i="33"/>
  <c r="AE319" i="33"/>
  <c r="AE318" i="33"/>
  <c r="AE317" i="33"/>
  <c r="AE316" i="33"/>
  <c r="AE315" i="33"/>
  <c r="AE314" i="33"/>
  <c r="AE313" i="33"/>
  <c r="AE312" i="33"/>
  <c r="AE311" i="33"/>
  <c r="AE310" i="33"/>
  <c r="AE309" i="33"/>
  <c r="AE308" i="33"/>
  <c r="AE307" i="33"/>
  <c r="AE306" i="33"/>
  <c r="AE305" i="33"/>
  <c r="AE304" i="33"/>
  <c r="AE303" i="33"/>
  <c r="AE302" i="33"/>
  <c r="AE301" i="33"/>
  <c r="AE300" i="33"/>
  <c r="AE299" i="33"/>
  <c r="AE298" i="33"/>
  <c r="AE297" i="33"/>
  <c r="AE296" i="33"/>
  <c r="AE295" i="33"/>
  <c r="AE294" i="33"/>
  <c r="AE293" i="33"/>
  <c r="AE292" i="33"/>
  <c r="AE291" i="33"/>
  <c r="AE290" i="33"/>
  <c r="AE289" i="33"/>
  <c r="AE288" i="33"/>
  <c r="AE287" i="33"/>
  <c r="AE286" i="33"/>
  <c r="AE285" i="33"/>
  <c r="AE284" i="33"/>
  <c r="AE283" i="33"/>
  <c r="AE282" i="33"/>
  <c r="AE281" i="33"/>
  <c r="AE280" i="33"/>
  <c r="AE279" i="33"/>
  <c r="AE278" i="33"/>
  <c r="AE277" i="33"/>
  <c r="AE276" i="33"/>
  <c r="AE275" i="33"/>
  <c r="AE274" i="33"/>
  <c r="AE273" i="33"/>
  <c r="AE272" i="33"/>
  <c r="AE271" i="33"/>
  <c r="AE270" i="33"/>
  <c r="AE269" i="33"/>
  <c r="AE268" i="33"/>
  <c r="AE267" i="33"/>
  <c r="AE266" i="33"/>
  <c r="AE265" i="33"/>
  <c r="AE264" i="33"/>
  <c r="AE263" i="33"/>
  <c r="AE262" i="33"/>
  <c r="AE261" i="33"/>
  <c r="AE260" i="33"/>
  <c r="AE259" i="33"/>
  <c r="AE258" i="33"/>
  <c r="AE257" i="33"/>
  <c r="AE256" i="33"/>
  <c r="AE255" i="33"/>
  <c r="AE254" i="33"/>
  <c r="AE253" i="33"/>
  <c r="AE252" i="33"/>
  <c r="AE251" i="33"/>
  <c r="AE250" i="33"/>
  <c r="AE249" i="33"/>
  <c r="AE248" i="33"/>
  <c r="AE247" i="33"/>
  <c r="AE246" i="33"/>
  <c r="AE245" i="33"/>
  <c r="AE244" i="33"/>
  <c r="AE243" i="33"/>
  <c r="AE242" i="33"/>
  <c r="AE241" i="33"/>
  <c r="AE240" i="33"/>
  <c r="AE239" i="33"/>
  <c r="AE238" i="33"/>
  <c r="AE237" i="33"/>
  <c r="AE236" i="33"/>
  <c r="AE235" i="33"/>
  <c r="AE234" i="33"/>
  <c r="AE233" i="33"/>
  <c r="AE232" i="33"/>
  <c r="AE231" i="33"/>
  <c r="AE230" i="33"/>
  <c r="AE229" i="33"/>
  <c r="AE228" i="33"/>
  <c r="AE227" i="33"/>
  <c r="AE226" i="33"/>
  <c r="AE225" i="33"/>
  <c r="AE224" i="33"/>
  <c r="AE223" i="33"/>
  <c r="AE222" i="33"/>
  <c r="AE221" i="33"/>
  <c r="AE220" i="33"/>
  <c r="AE219" i="33"/>
  <c r="AE218" i="33"/>
  <c r="AE217" i="33"/>
  <c r="AE216" i="33"/>
  <c r="AE215" i="33"/>
  <c r="AE214" i="33"/>
  <c r="AE213" i="33"/>
  <c r="AE212" i="33"/>
  <c r="AE211" i="33"/>
  <c r="AE210" i="33"/>
  <c r="AE209" i="33"/>
  <c r="AE208" i="33"/>
  <c r="AE207" i="33"/>
  <c r="AE206" i="33"/>
  <c r="AE205" i="33"/>
  <c r="AE204" i="33"/>
  <c r="AE203" i="33"/>
  <c r="AE202" i="33"/>
  <c r="AE201" i="33"/>
  <c r="AE200" i="33"/>
  <c r="AE199" i="33"/>
  <c r="AE198" i="33"/>
  <c r="AE197" i="33"/>
  <c r="AE196" i="33"/>
  <c r="AE195" i="33"/>
  <c r="AE194" i="33"/>
  <c r="AE193" i="33"/>
  <c r="AE192" i="33"/>
  <c r="AE191" i="33"/>
  <c r="AE190" i="33"/>
  <c r="AE189" i="33"/>
  <c r="AE188" i="33"/>
  <c r="AE187" i="33"/>
  <c r="AE186" i="33"/>
  <c r="AE185" i="33"/>
  <c r="AE184" i="33"/>
  <c r="AE183" i="33"/>
  <c r="AE182" i="33"/>
  <c r="AE181" i="33"/>
  <c r="AE180" i="33"/>
  <c r="AE179" i="33"/>
  <c r="AE178" i="33"/>
  <c r="AE177" i="33"/>
  <c r="AE176" i="33"/>
  <c r="AE175" i="33"/>
  <c r="AE174" i="33"/>
  <c r="AE173" i="33"/>
  <c r="AE172" i="33"/>
  <c r="AE171" i="33"/>
  <c r="AE170" i="33"/>
  <c r="AE169" i="33"/>
  <c r="AE168" i="33"/>
  <c r="AE167" i="33"/>
  <c r="AE166" i="33"/>
  <c r="AE165" i="33"/>
  <c r="AE164" i="33"/>
  <c r="AE163" i="33"/>
  <c r="AE162" i="33"/>
  <c r="AE161" i="33"/>
  <c r="AE160" i="33"/>
  <c r="AE159" i="33"/>
  <c r="AE158" i="33"/>
  <c r="AE157" i="33"/>
  <c r="AE156" i="33"/>
  <c r="AE155" i="33"/>
  <c r="AE154" i="33"/>
  <c r="AE153" i="33"/>
  <c r="AE152" i="33"/>
  <c r="AE151" i="33"/>
  <c r="AE150" i="33"/>
  <c r="AE149" i="33"/>
  <c r="AE148" i="33"/>
  <c r="AE147" i="33"/>
  <c r="AE146" i="33"/>
  <c r="AE145" i="33"/>
  <c r="AE144" i="33"/>
  <c r="AE143" i="33"/>
  <c r="AE142" i="33"/>
  <c r="AE141" i="33"/>
  <c r="AE140" i="33"/>
  <c r="AE139" i="33"/>
  <c r="AE138" i="33"/>
  <c r="AE137" i="33"/>
  <c r="AE136" i="33"/>
  <c r="AE135" i="33"/>
  <c r="AE134" i="33"/>
  <c r="AE133" i="33"/>
  <c r="AE132" i="33"/>
  <c r="AE131" i="33"/>
  <c r="AE130" i="33"/>
  <c r="AE129" i="33"/>
  <c r="AE128" i="33"/>
  <c r="AE127" i="33"/>
  <c r="AE126" i="33"/>
  <c r="AE125" i="33"/>
  <c r="AE124" i="33"/>
  <c r="AE123" i="33"/>
  <c r="AE122" i="33"/>
  <c r="AE121" i="33"/>
  <c r="AE120" i="33"/>
  <c r="AE119" i="33"/>
  <c r="AE118" i="33"/>
  <c r="AE117" i="33"/>
  <c r="AE116" i="33"/>
  <c r="AE115" i="33"/>
  <c r="AE114" i="33"/>
  <c r="AE113" i="33"/>
  <c r="AE112" i="33"/>
  <c r="AE111" i="33"/>
  <c r="AE110" i="33"/>
  <c r="AE109" i="33"/>
  <c r="AE108" i="33"/>
  <c r="AE107" i="33"/>
  <c r="AE106" i="33"/>
  <c r="AE105" i="33"/>
  <c r="AE104" i="33"/>
  <c r="AE103" i="33"/>
  <c r="AE102" i="33"/>
  <c r="AE101" i="33"/>
  <c r="AE100" i="33"/>
  <c r="AE99" i="33"/>
  <c r="AE98" i="33"/>
  <c r="AE97" i="33"/>
  <c r="AE96" i="33"/>
  <c r="AE95" i="33"/>
  <c r="AE94" i="33"/>
  <c r="AE93" i="33"/>
  <c r="AE92" i="33"/>
  <c r="AE91" i="33"/>
  <c r="AE90" i="33"/>
  <c r="AE89" i="33"/>
  <c r="AE88" i="33"/>
  <c r="AE87" i="33"/>
  <c r="AE86" i="33"/>
  <c r="AE85" i="33"/>
  <c r="AE84" i="33"/>
  <c r="AE83" i="33"/>
  <c r="AE82" i="33"/>
  <c r="AE81" i="33"/>
  <c r="AE80" i="33"/>
  <c r="AE79" i="33"/>
  <c r="AE78" i="33"/>
  <c r="AE77" i="33"/>
  <c r="AE76" i="33"/>
  <c r="AE75" i="33"/>
  <c r="AE74" i="33"/>
  <c r="AE73" i="33"/>
  <c r="AE72" i="33"/>
  <c r="AE71" i="33"/>
  <c r="AE70" i="33"/>
  <c r="AE69" i="33"/>
  <c r="AE68" i="33"/>
  <c r="AE67" i="33"/>
  <c r="AE66" i="33"/>
  <c r="AE65" i="33"/>
  <c r="AE64" i="33"/>
  <c r="AE63" i="33"/>
  <c r="AE62" i="33"/>
  <c r="AE61" i="33"/>
  <c r="AE60" i="33"/>
  <c r="AE59" i="33"/>
  <c r="AE58" i="33"/>
  <c r="AE57" i="33"/>
  <c r="AE56" i="33"/>
  <c r="AE55" i="33"/>
  <c r="AE54" i="33"/>
  <c r="AE53" i="33"/>
  <c r="AE52" i="33"/>
  <c r="AE51" i="33"/>
  <c r="AE50" i="33"/>
  <c r="AE49" i="33"/>
  <c r="AE48" i="33"/>
  <c r="AE47" i="33"/>
  <c r="AE46" i="33"/>
  <c r="AE45" i="33"/>
  <c r="AE44" i="33"/>
  <c r="AE43" i="33"/>
  <c r="AE42" i="33"/>
  <c r="AE41" i="33"/>
  <c r="AE40" i="33"/>
  <c r="AE39" i="33"/>
  <c r="AE38" i="33"/>
  <c r="AE37" i="33"/>
  <c r="AE36" i="33"/>
  <c r="AE35" i="33"/>
  <c r="AE34" i="33"/>
  <c r="AE33" i="33"/>
  <c r="AE32" i="33"/>
  <c r="AE31" i="33"/>
  <c r="AE30" i="33"/>
  <c r="AE29" i="33"/>
  <c r="AE28" i="33"/>
  <c r="AE27" i="33"/>
  <c r="AE26" i="33"/>
  <c r="AE25" i="33"/>
  <c r="AE24" i="33"/>
  <c r="AE23" i="33"/>
  <c r="AE22" i="33"/>
  <c r="AE21" i="33"/>
  <c r="AE20" i="33"/>
  <c r="AE19" i="33"/>
  <c r="AE18" i="33"/>
  <c r="AE17" i="33"/>
  <c r="AE16" i="33"/>
  <c r="AE15" i="33"/>
  <c r="AE14" i="33"/>
  <c r="AE13" i="33"/>
  <c r="AE12" i="33"/>
  <c r="AE11" i="33"/>
  <c r="AE10" i="33"/>
  <c r="AE9" i="33"/>
  <c r="AE8" i="33"/>
  <c r="AE7" i="33"/>
  <c r="AE6" i="33"/>
  <c r="AE5" i="33"/>
  <c r="AE4" i="33"/>
  <c r="AE3" i="33"/>
  <c r="AH363" i="33"/>
  <c r="AE81" i="25"/>
  <c r="AE83" i="25"/>
  <c r="AE7" i="25"/>
  <c r="AC7" i="25"/>
  <c r="AC81" i="25"/>
  <c r="AC83" i="25"/>
  <c r="R41" i="26"/>
  <c r="Q40" i="26"/>
  <c r="R25" i="26"/>
  <c r="Q26" i="26"/>
  <c r="V89" i="26"/>
  <c r="U88" i="26"/>
  <c r="I73" i="16"/>
  <c r="I72" i="16"/>
  <c r="AG362" i="33"/>
  <c r="AG361" i="33"/>
  <c r="AG360" i="33"/>
  <c r="AG359" i="33"/>
  <c r="AG358" i="33"/>
  <c r="AG357" i="33"/>
  <c r="AG356" i="33"/>
  <c r="AG355" i="33"/>
  <c r="AG354" i="33"/>
  <c r="AG353" i="33"/>
  <c r="AG352" i="33"/>
  <c r="AG351" i="33"/>
  <c r="AG350" i="33"/>
  <c r="AG349" i="33"/>
  <c r="AG348" i="33"/>
  <c r="AG347" i="33"/>
  <c r="AG346" i="33"/>
  <c r="AG345" i="33"/>
  <c r="AG344" i="33"/>
  <c r="AG343" i="33"/>
  <c r="AG342" i="33"/>
  <c r="AG341" i="33"/>
  <c r="AG340" i="33"/>
  <c r="AG339" i="33"/>
  <c r="AG338" i="33"/>
  <c r="AG337" i="33"/>
  <c r="AG336" i="33"/>
  <c r="AG335" i="33"/>
  <c r="AG334" i="33"/>
  <c r="AG333" i="33"/>
  <c r="AG332" i="33"/>
  <c r="AG331" i="33"/>
  <c r="AG330" i="33"/>
  <c r="AG329" i="33"/>
  <c r="AG328" i="33"/>
  <c r="AG327" i="33"/>
  <c r="AG326" i="33"/>
  <c r="AG325" i="33"/>
  <c r="AG324" i="33"/>
  <c r="AG323" i="33"/>
  <c r="AG322" i="33"/>
  <c r="AG321" i="33"/>
  <c r="AG320" i="33"/>
  <c r="AG319" i="33"/>
  <c r="AG318" i="33"/>
  <c r="AG317" i="33"/>
  <c r="AG316" i="33"/>
  <c r="AG315" i="33"/>
  <c r="AG314" i="33"/>
  <c r="AG313" i="33"/>
  <c r="AG312" i="33"/>
  <c r="AG311" i="33"/>
  <c r="AG310" i="33"/>
  <c r="AG309" i="33"/>
  <c r="AG308" i="33"/>
  <c r="AG307" i="33"/>
  <c r="AG306" i="33"/>
  <c r="AG305" i="33"/>
  <c r="AG304" i="33"/>
  <c r="AG303" i="33"/>
  <c r="AG302" i="33"/>
  <c r="AG301" i="33"/>
  <c r="AG300" i="33"/>
  <c r="AG299" i="33"/>
  <c r="AG298" i="33"/>
  <c r="AG297" i="33"/>
  <c r="AG296" i="33"/>
  <c r="AG295" i="33"/>
  <c r="AG294" i="33"/>
  <c r="AG293" i="33"/>
  <c r="AG292" i="33"/>
  <c r="AG291" i="33"/>
  <c r="AG290" i="33"/>
  <c r="AG289" i="33"/>
  <c r="AG288" i="33"/>
  <c r="AG287" i="33"/>
  <c r="AG286" i="33"/>
  <c r="AG285" i="33"/>
  <c r="AG284" i="33"/>
  <c r="AG283" i="33"/>
  <c r="AG282" i="33"/>
  <c r="AG281" i="33"/>
  <c r="AG280" i="33"/>
  <c r="AG279" i="33"/>
  <c r="AG278" i="33"/>
  <c r="AG277" i="33"/>
  <c r="AG276" i="33"/>
  <c r="AG275" i="33"/>
  <c r="AG274" i="33"/>
  <c r="AG273" i="33"/>
  <c r="AG272" i="33"/>
  <c r="AG271" i="33"/>
  <c r="AG270" i="33"/>
  <c r="AG269" i="33"/>
  <c r="AG268" i="33"/>
  <c r="AG267" i="33"/>
  <c r="AG266" i="33"/>
  <c r="AG265" i="33"/>
  <c r="AG264" i="33"/>
  <c r="AG263" i="33"/>
  <c r="AG262" i="33"/>
  <c r="AG261" i="33"/>
  <c r="AG260" i="33"/>
  <c r="AG259" i="33"/>
  <c r="AG258" i="33"/>
  <c r="AG257" i="33"/>
  <c r="AG256" i="33"/>
  <c r="AG255" i="33"/>
  <c r="AG254" i="33"/>
  <c r="AG253" i="33"/>
  <c r="AG252" i="33"/>
  <c r="AG251" i="33"/>
  <c r="AG250" i="33"/>
  <c r="AG249" i="33"/>
  <c r="AG248" i="33"/>
  <c r="AG247" i="33"/>
  <c r="AG246" i="33"/>
  <c r="AG245" i="33"/>
  <c r="AG244" i="33"/>
  <c r="AG243" i="33"/>
  <c r="AG242" i="33"/>
  <c r="AG241" i="33"/>
  <c r="AG240" i="33"/>
  <c r="AG239" i="33"/>
  <c r="AG238" i="33"/>
  <c r="AG237" i="33"/>
  <c r="AG236" i="33"/>
  <c r="AG235" i="33"/>
  <c r="AG234" i="33"/>
  <c r="AG233" i="33"/>
  <c r="AG232" i="33"/>
  <c r="AG231" i="33"/>
  <c r="AG230" i="33"/>
  <c r="AG229" i="33"/>
  <c r="AG228" i="33"/>
  <c r="AG227" i="33"/>
  <c r="AG226" i="33"/>
  <c r="AG225" i="33"/>
  <c r="AG224" i="33"/>
  <c r="AG223" i="33"/>
  <c r="AG222" i="33"/>
  <c r="AG221" i="33"/>
  <c r="AG220" i="33"/>
  <c r="AG219" i="33"/>
  <c r="AG218" i="33"/>
  <c r="AG217" i="33"/>
  <c r="AG216" i="33"/>
  <c r="AG215" i="33"/>
  <c r="AG214" i="33"/>
  <c r="AG213" i="33"/>
  <c r="AG212" i="33"/>
  <c r="AG211" i="33"/>
  <c r="AG210" i="33"/>
  <c r="AG209" i="33"/>
  <c r="AG208" i="33"/>
  <c r="AG207" i="33"/>
  <c r="AG206" i="33"/>
  <c r="AG205" i="33"/>
  <c r="AG204" i="33"/>
  <c r="AG203" i="33"/>
  <c r="AG202" i="33"/>
  <c r="AG201" i="33"/>
  <c r="AG200" i="33"/>
  <c r="AG199" i="33"/>
  <c r="AG198" i="33"/>
  <c r="AG197" i="33"/>
  <c r="AG196" i="33"/>
  <c r="AG195" i="33"/>
  <c r="AG194" i="33"/>
  <c r="AG193" i="33"/>
  <c r="AG192" i="33"/>
  <c r="AG191" i="33"/>
  <c r="AG190" i="33"/>
  <c r="AG189" i="33"/>
  <c r="AG188" i="33"/>
  <c r="AG187" i="33"/>
  <c r="AG186" i="33"/>
  <c r="AG185" i="33"/>
  <c r="AG184" i="33"/>
  <c r="AG183" i="33"/>
  <c r="AG182" i="33"/>
  <c r="AG181" i="33"/>
  <c r="AG180" i="33"/>
  <c r="AG179" i="33"/>
  <c r="AG178" i="33"/>
  <c r="AG177" i="33"/>
  <c r="AG176" i="33"/>
  <c r="AG175" i="33"/>
  <c r="AG174" i="33"/>
  <c r="AG173" i="33"/>
  <c r="AG172" i="33"/>
  <c r="AG171" i="33"/>
  <c r="AG170" i="33"/>
  <c r="AG169" i="33"/>
  <c r="AG168" i="33"/>
  <c r="AG167" i="33"/>
  <c r="AG166" i="33"/>
  <c r="AG165" i="33"/>
  <c r="AG164" i="33"/>
  <c r="AG163" i="33"/>
  <c r="AG162" i="33"/>
  <c r="AG161" i="33"/>
  <c r="AG160" i="33"/>
  <c r="AG159" i="33"/>
  <c r="AG158" i="33"/>
  <c r="AG157" i="33"/>
  <c r="AG156" i="33"/>
  <c r="AG155" i="33"/>
  <c r="AG154" i="33"/>
  <c r="AG153" i="33"/>
  <c r="AG152" i="33"/>
  <c r="AG151" i="33"/>
  <c r="AG150" i="33"/>
  <c r="AG149" i="33"/>
  <c r="AG148" i="33"/>
  <c r="AG147" i="33"/>
  <c r="AG146" i="33"/>
  <c r="AG145" i="33"/>
  <c r="AG144" i="33"/>
  <c r="AG143" i="33"/>
  <c r="AG142" i="33"/>
  <c r="AG141" i="33"/>
  <c r="AG140" i="33"/>
  <c r="AG139" i="33"/>
  <c r="AG138" i="33"/>
  <c r="AG137" i="33"/>
  <c r="AG136" i="33"/>
  <c r="AG135" i="33"/>
  <c r="AG134" i="33"/>
  <c r="AG133" i="33"/>
  <c r="AG132" i="33"/>
  <c r="AG131" i="33"/>
  <c r="AG130" i="33"/>
  <c r="AG129" i="33"/>
  <c r="AG128" i="33"/>
  <c r="AG127" i="33"/>
  <c r="AG126" i="33"/>
  <c r="AG125" i="33"/>
  <c r="AG124" i="33"/>
  <c r="AG123" i="33"/>
  <c r="AG122" i="33"/>
  <c r="AG121" i="33"/>
  <c r="AG120" i="33"/>
  <c r="AG119" i="33"/>
  <c r="AG118" i="33"/>
  <c r="AG117" i="33"/>
  <c r="AG116" i="33"/>
  <c r="AG115" i="33"/>
  <c r="AG114" i="33"/>
  <c r="AG113" i="33"/>
  <c r="AG112" i="33"/>
  <c r="AG111" i="33"/>
  <c r="AG110" i="33"/>
  <c r="AG109" i="33"/>
  <c r="AG108" i="33"/>
  <c r="AG107" i="33"/>
  <c r="AG106" i="33"/>
  <c r="AG105" i="33"/>
  <c r="AG104" i="33"/>
  <c r="AG103" i="33"/>
  <c r="AG102" i="33"/>
  <c r="AG101" i="33"/>
  <c r="AG100" i="33"/>
  <c r="AG99" i="33"/>
  <c r="AG98" i="33"/>
  <c r="AG97" i="33"/>
  <c r="AG96" i="33"/>
  <c r="AG95" i="33"/>
  <c r="AG94" i="33"/>
  <c r="AG93" i="33"/>
  <c r="AG92" i="33"/>
  <c r="AG91" i="33"/>
  <c r="AG90" i="33"/>
  <c r="AG89" i="33"/>
  <c r="AG88" i="33"/>
  <c r="AG87" i="33"/>
  <c r="AG86" i="33"/>
  <c r="AG85" i="33"/>
  <c r="AG84" i="33"/>
  <c r="AG83" i="33"/>
  <c r="AG82" i="33"/>
  <c r="AG81" i="33"/>
  <c r="AG80" i="33"/>
  <c r="AG79" i="33"/>
  <c r="AG78" i="33"/>
  <c r="AG77" i="33"/>
  <c r="AG76" i="33"/>
  <c r="AG75" i="33"/>
  <c r="AG74" i="33"/>
  <c r="AG73" i="33"/>
  <c r="AG72" i="33"/>
  <c r="AG71" i="33"/>
  <c r="AG70" i="33"/>
  <c r="AG69" i="33"/>
  <c r="AG68" i="33"/>
  <c r="AG67" i="33"/>
  <c r="AG66" i="33"/>
  <c r="AG65" i="33"/>
  <c r="AG64" i="33"/>
  <c r="AG63" i="33"/>
  <c r="AG62" i="33"/>
  <c r="AG61" i="33"/>
  <c r="AG60" i="33"/>
  <c r="AG59" i="33"/>
  <c r="AG58" i="33"/>
  <c r="AG57" i="33"/>
  <c r="AG56" i="33"/>
  <c r="AG55" i="33"/>
  <c r="AG54" i="33"/>
  <c r="AG53" i="33"/>
  <c r="AG52" i="33"/>
  <c r="AG51" i="33"/>
  <c r="AG50" i="33"/>
  <c r="AG49" i="33"/>
  <c r="AG48" i="33"/>
  <c r="AG47" i="33"/>
  <c r="AG46" i="33"/>
  <c r="AG45" i="33"/>
  <c r="AG44" i="33"/>
  <c r="AG43" i="33"/>
  <c r="AG42" i="33"/>
  <c r="AG41" i="33"/>
  <c r="AG40" i="33"/>
  <c r="AG39" i="33"/>
  <c r="AG38" i="33"/>
  <c r="AG37" i="33"/>
  <c r="AG36" i="33"/>
  <c r="AG35" i="33"/>
  <c r="AG34" i="33"/>
  <c r="AG33" i="33"/>
  <c r="AG32" i="33"/>
  <c r="AG31" i="33"/>
  <c r="AG30" i="33"/>
  <c r="AG29" i="33"/>
  <c r="AG28" i="33"/>
  <c r="AG27" i="33"/>
  <c r="AG26" i="33"/>
  <c r="AG25" i="33"/>
  <c r="AG24" i="33"/>
  <c r="AG23" i="33"/>
  <c r="AG22" i="33"/>
  <c r="AG21" i="33"/>
  <c r="AG20" i="33"/>
  <c r="AG19" i="33"/>
  <c r="AG18" i="33"/>
  <c r="AG17" i="33"/>
  <c r="AG16" i="33"/>
  <c r="AG15" i="33"/>
  <c r="AG14" i="33"/>
  <c r="AG13" i="33"/>
  <c r="AG12" i="33"/>
  <c r="AG11" i="33"/>
  <c r="AG10" i="33"/>
  <c r="AG9" i="33"/>
  <c r="AG8" i="33"/>
  <c r="AG7" i="33"/>
  <c r="AG6" i="33"/>
  <c r="AG5" i="33"/>
  <c r="AG4" i="33"/>
  <c r="AG3" i="33"/>
  <c r="AJ363" i="33"/>
  <c r="AJ362" i="33"/>
  <c r="AJ361" i="33"/>
  <c r="AJ360" i="33"/>
  <c r="AJ359" i="33"/>
  <c r="AJ358" i="33"/>
  <c r="AJ357" i="33"/>
  <c r="AJ356" i="33"/>
  <c r="AJ355" i="33"/>
  <c r="AJ354" i="33"/>
  <c r="AJ353" i="33"/>
  <c r="AJ352" i="33"/>
  <c r="AJ351" i="33"/>
  <c r="AJ350" i="33"/>
  <c r="AJ349" i="33"/>
  <c r="AJ348" i="33"/>
  <c r="AJ347" i="33"/>
  <c r="AJ346" i="33"/>
  <c r="AJ345" i="33"/>
  <c r="AJ344" i="33"/>
  <c r="AJ343" i="33"/>
  <c r="AJ342" i="33"/>
  <c r="AJ341" i="33"/>
  <c r="AJ340" i="33"/>
  <c r="AJ339" i="33"/>
  <c r="AJ338" i="33"/>
  <c r="AJ337" i="33"/>
  <c r="AJ336" i="33"/>
  <c r="AJ335" i="33"/>
  <c r="AJ334" i="33"/>
  <c r="AJ333" i="33"/>
  <c r="AJ332" i="33"/>
  <c r="AJ331" i="33"/>
  <c r="AJ330" i="33"/>
  <c r="AJ329" i="33"/>
  <c r="AJ328" i="33"/>
  <c r="AJ327" i="33"/>
  <c r="AJ326" i="33"/>
  <c r="AJ325" i="33"/>
  <c r="AJ324" i="33"/>
  <c r="AJ323" i="33"/>
  <c r="AJ322" i="33"/>
  <c r="AJ321" i="33"/>
  <c r="AJ320" i="33"/>
  <c r="AJ319" i="33"/>
  <c r="AJ318" i="33"/>
  <c r="AJ317" i="33"/>
  <c r="AJ316" i="33"/>
  <c r="AJ315" i="33"/>
  <c r="AJ314" i="33"/>
  <c r="AJ313" i="33"/>
  <c r="AJ312" i="33"/>
  <c r="AJ311" i="33"/>
  <c r="AJ310" i="33"/>
  <c r="AJ309" i="33"/>
  <c r="AJ308" i="33"/>
  <c r="AJ307" i="33"/>
  <c r="AJ306" i="33"/>
  <c r="AJ305" i="33"/>
  <c r="AJ304" i="33"/>
  <c r="AJ303" i="33"/>
  <c r="AJ302" i="33"/>
  <c r="AJ301" i="33"/>
  <c r="AJ300" i="33"/>
  <c r="AJ299" i="33"/>
  <c r="AJ298" i="33"/>
  <c r="AJ297" i="33"/>
  <c r="AJ296" i="33"/>
  <c r="AJ295" i="33"/>
  <c r="AJ294" i="33"/>
  <c r="AJ293" i="33"/>
  <c r="AJ292" i="33"/>
  <c r="AJ291" i="33"/>
  <c r="AJ290" i="33"/>
  <c r="AJ289" i="33"/>
  <c r="AJ288" i="33"/>
  <c r="AJ287" i="33"/>
  <c r="AJ286" i="33"/>
  <c r="AJ285" i="33"/>
  <c r="AJ284" i="33"/>
  <c r="AJ283" i="33"/>
  <c r="AJ282" i="33"/>
  <c r="AJ281" i="33"/>
  <c r="AJ280" i="33"/>
  <c r="AJ279" i="33"/>
  <c r="AJ278" i="33"/>
  <c r="AJ277" i="33"/>
  <c r="AJ276" i="33"/>
  <c r="AJ275" i="33"/>
  <c r="AJ274" i="33"/>
  <c r="AJ273" i="33"/>
  <c r="AJ272" i="33"/>
  <c r="AJ271" i="33"/>
  <c r="AJ270" i="33"/>
  <c r="AJ269" i="33"/>
  <c r="AJ268" i="33"/>
  <c r="AJ267" i="33"/>
  <c r="AJ266" i="33"/>
  <c r="AJ265" i="33"/>
  <c r="AJ264" i="33"/>
  <c r="AJ263" i="33"/>
  <c r="AJ262" i="33"/>
  <c r="AJ261" i="33"/>
  <c r="AJ260" i="33"/>
  <c r="AJ259" i="33"/>
  <c r="AJ258" i="33"/>
  <c r="AJ257" i="33"/>
  <c r="AJ256" i="33"/>
  <c r="AJ255" i="33"/>
  <c r="AJ254" i="33"/>
  <c r="AJ253" i="33"/>
  <c r="AJ252" i="33"/>
  <c r="AJ251" i="33"/>
  <c r="AJ250" i="33"/>
  <c r="AJ249" i="33"/>
  <c r="AJ248" i="33"/>
  <c r="AJ247" i="33"/>
  <c r="AJ246" i="33"/>
  <c r="AJ245" i="33"/>
  <c r="AJ244" i="33"/>
  <c r="AJ243" i="33"/>
  <c r="AJ242" i="33"/>
  <c r="AJ241" i="33"/>
  <c r="AJ240" i="33"/>
  <c r="AJ239" i="33"/>
  <c r="AJ238" i="33"/>
  <c r="AJ237" i="33"/>
  <c r="AJ236" i="33"/>
  <c r="AJ235" i="33"/>
  <c r="AJ234" i="33"/>
  <c r="AJ233" i="33"/>
  <c r="AJ232" i="33"/>
  <c r="AJ231" i="33"/>
  <c r="AJ230" i="33"/>
  <c r="AJ229" i="33"/>
  <c r="AJ228" i="33"/>
  <c r="AJ227" i="33"/>
  <c r="AJ226" i="33"/>
  <c r="AJ225" i="33"/>
  <c r="AJ224" i="33"/>
  <c r="AJ223" i="33"/>
  <c r="AJ222" i="33"/>
  <c r="AJ221" i="33"/>
  <c r="AJ220" i="33"/>
  <c r="AJ219" i="33"/>
  <c r="AJ218" i="33"/>
  <c r="AJ217" i="33"/>
  <c r="AJ216" i="33"/>
  <c r="AJ215" i="33"/>
  <c r="AJ214" i="33"/>
  <c r="AJ213" i="33"/>
  <c r="AJ212" i="33"/>
  <c r="AJ211" i="33"/>
  <c r="AJ210" i="33"/>
  <c r="AJ209" i="33"/>
  <c r="AJ208" i="33"/>
  <c r="AJ207" i="33"/>
  <c r="AJ206" i="33"/>
  <c r="AJ205" i="33"/>
  <c r="AJ204" i="33"/>
  <c r="AJ203" i="33"/>
  <c r="AJ202" i="33"/>
  <c r="AJ201" i="33"/>
  <c r="AJ200" i="33"/>
  <c r="AJ199" i="33"/>
  <c r="AJ198" i="33"/>
  <c r="AJ197" i="33"/>
  <c r="AJ196" i="33"/>
  <c r="AJ195" i="33"/>
  <c r="AJ194" i="33"/>
  <c r="AJ193" i="33"/>
  <c r="AJ192" i="33"/>
  <c r="AJ191" i="33"/>
  <c r="AJ190" i="33"/>
  <c r="AJ189" i="33"/>
  <c r="AJ188" i="33"/>
  <c r="AJ187" i="33"/>
  <c r="AJ186" i="33"/>
  <c r="AJ185" i="33"/>
  <c r="AJ184" i="33"/>
  <c r="AJ183" i="33"/>
  <c r="AJ182" i="33"/>
  <c r="AJ181" i="33"/>
  <c r="AJ180" i="33"/>
  <c r="AJ179" i="33"/>
  <c r="AJ178" i="33"/>
  <c r="AJ177" i="33"/>
  <c r="AJ176" i="33"/>
  <c r="AJ175" i="33"/>
  <c r="AJ174" i="33"/>
  <c r="AJ173" i="33"/>
  <c r="AJ172" i="33"/>
  <c r="AJ171" i="33"/>
  <c r="AJ170" i="33"/>
  <c r="AJ169" i="33"/>
  <c r="AJ168" i="33"/>
  <c r="AJ167" i="33"/>
  <c r="AJ166" i="33"/>
  <c r="AJ165" i="33"/>
  <c r="AJ164" i="33"/>
  <c r="AJ163" i="33"/>
  <c r="AJ162" i="33"/>
  <c r="AJ161" i="33"/>
  <c r="AJ160" i="33"/>
  <c r="AJ159" i="33"/>
  <c r="AJ158" i="33"/>
  <c r="AJ157" i="33"/>
  <c r="AJ156" i="33"/>
  <c r="AJ155" i="33"/>
  <c r="AJ154" i="33"/>
  <c r="AJ153" i="33"/>
  <c r="AJ152" i="33"/>
  <c r="AJ151" i="33"/>
  <c r="AJ150" i="33"/>
  <c r="AJ149" i="33"/>
  <c r="AJ148" i="33"/>
  <c r="AJ147" i="33"/>
  <c r="AJ146" i="33"/>
  <c r="AJ145" i="33"/>
  <c r="AJ144" i="33"/>
  <c r="AJ143" i="33"/>
  <c r="AJ142" i="33"/>
  <c r="AJ141" i="33"/>
  <c r="AJ140" i="33"/>
  <c r="AJ139" i="33"/>
  <c r="AJ138" i="33"/>
  <c r="AJ137" i="33"/>
  <c r="AJ136" i="33"/>
  <c r="AJ135" i="33"/>
  <c r="AJ134" i="33"/>
  <c r="AJ133" i="33"/>
  <c r="AJ132" i="33"/>
  <c r="AJ131" i="33"/>
  <c r="AJ130" i="33"/>
  <c r="AJ129" i="33"/>
  <c r="AJ128" i="33"/>
  <c r="AJ127" i="33"/>
  <c r="AJ126" i="33"/>
  <c r="AJ125" i="33"/>
  <c r="AJ124" i="33"/>
  <c r="AJ123" i="33"/>
  <c r="AJ122" i="33"/>
  <c r="AJ121" i="33"/>
  <c r="AJ120" i="33"/>
  <c r="AJ119" i="33"/>
  <c r="AJ118" i="33"/>
  <c r="AJ117" i="33"/>
  <c r="AJ116" i="33"/>
  <c r="AJ115" i="33"/>
  <c r="AJ114" i="33"/>
  <c r="AJ113" i="33"/>
  <c r="AJ112" i="33"/>
  <c r="AJ111" i="33"/>
  <c r="AJ110" i="33"/>
  <c r="AJ109" i="33"/>
  <c r="AJ108" i="33"/>
  <c r="AJ107" i="33"/>
  <c r="AJ106" i="33"/>
  <c r="AJ105" i="33"/>
  <c r="AJ104" i="33"/>
  <c r="AJ103" i="33"/>
  <c r="AJ102" i="33"/>
  <c r="AJ101" i="33"/>
  <c r="AJ100" i="33"/>
  <c r="AJ99" i="33"/>
  <c r="AJ98" i="33"/>
  <c r="AJ97" i="33"/>
  <c r="AJ96" i="33"/>
  <c r="AJ95" i="33"/>
  <c r="AJ94" i="33"/>
  <c r="AJ93" i="33"/>
  <c r="AJ92" i="33"/>
  <c r="AJ91" i="33"/>
  <c r="AJ90" i="33"/>
  <c r="AJ89" i="33"/>
  <c r="AJ88" i="33"/>
  <c r="AJ87" i="33"/>
  <c r="AJ86" i="33"/>
  <c r="AJ85" i="33"/>
  <c r="AJ84" i="33"/>
  <c r="AJ83" i="33"/>
  <c r="AJ82" i="33"/>
  <c r="AJ81" i="33"/>
  <c r="AJ80" i="33"/>
  <c r="AJ79" i="33"/>
  <c r="AJ78" i="33"/>
  <c r="AJ77" i="33"/>
  <c r="AJ76" i="33"/>
  <c r="AJ75" i="33"/>
  <c r="AJ74" i="33"/>
  <c r="AJ73" i="33"/>
  <c r="AJ72" i="33"/>
  <c r="AJ71" i="33"/>
  <c r="AJ70" i="33"/>
  <c r="AJ69" i="33"/>
  <c r="AJ68" i="33"/>
  <c r="AJ67" i="33"/>
  <c r="AJ66" i="33"/>
  <c r="AJ65" i="33"/>
  <c r="AJ64" i="33"/>
  <c r="AJ63" i="33"/>
  <c r="AJ62" i="33"/>
  <c r="AJ61" i="33"/>
  <c r="AJ60" i="33"/>
  <c r="AJ59" i="33"/>
  <c r="AJ58" i="33"/>
  <c r="AJ57" i="33"/>
  <c r="AJ56" i="33"/>
  <c r="AJ55" i="33"/>
  <c r="AJ54" i="33"/>
  <c r="AJ53" i="33"/>
  <c r="AJ52" i="33"/>
  <c r="AJ51" i="33"/>
  <c r="AJ50" i="33"/>
  <c r="AJ49" i="33"/>
  <c r="AJ48" i="33"/>
  <c r="AJ47" i="33"/>
  <c r="AJ46" i="33"/>
  <c r="AJ45" i="33"/>
  <c r="AJ44" i="33"/>
  <c r="AJ43" i="33"/>
  <c r="AJ42" i="33"/>
  <c r="AJ41" i="33"/>
  <c r="AJ40" i="33"/>
  <c r="AJ39" i="33"/>
  <c r="AJ38" i="33"/>
  <c r="AJ37" i="33"/>
  <c r="AJ36" i="33"/>
  <c r="AJ35" i="33"/>
  <c r="AJ34" i="33"/>
  <c r="AJ33" i="33"/>
  <c r="AJ32" i="33"/>
  <c r="AJ31" i="33"/>
  <c r="AJ30" i="33"/>
  <c r="AJ29" i="33"/>
  <c r="AJ28" i="33"/>
  <c r="AJ27" i="33"/>
  <c r="AJ26" i="33"/>
  <c r="AJ25" i="33"/>
  <c r="AJ24" i="33"/>
  <c r="AJ23" i="33"/>
  <c r="AJ22" i="33"/>
  <c r="AJ21" i="33"/>
  <c r="AJ20" i="33"/>
  <c r="AJ19" i="33"/>
  <c r="AJ18" i="33"/>
  <c r="AJ17" i="33"/>
  <c r="AJ16" i="33"/>
  <c r="AJ15" i="33"/>
  <c r="AJ14" i="33"/>
  <c r="AJ13" i="33"/>
  <c r="AJ12" i="33"/>
  <c r="AJ11" i="33"/>
  <c r="AJ10" i="33"/>
  <c r="AJ9" i="33"/>
  <c r="AJ8" i="33"/>
  <c r="AJ7" i="33"/>
  <c r="AJ6" i="33"/>
  <c r="AJ5" i="33"/>
  <c r="AJ4" i="33"/>
  <c r="AJ3" i="33"/>
  <c r="V25" i="26"/>
  <c r="U26" i="26"/>
  <c r="T23" i="26"/>
  <c r="R89" i="26"/>
  <c r="Q88" i="26"/>
  <c r="V41" i="26"/>
  <c r="U40" i="26"/>
  <c r="F89" i="16"/>
  <c r="AD5" i="25"/>
  <c r="AD38" i="25"/>
  <c r="AF7" i="25"/>
  <c r="AF81" i="25"/>
  <c r="AF83" i="25"/>
  <c r="AB7" i="25"/>
  <c r="AB81" i="25"/>
  <c r="AB83" i="25"/>
  <c r="AH7" i="25"/>
  <c r="AH81" i="25"/>
  <c r="AH83" i="25"/>
  <c r="AD7" i="25"/>
  <c r="AD81" i="25"/>
  <c r="AD83" i="25"/>
  <c r="F88" i="16"/>
  <c r="V42" i="26"/>
  <c r="U41" i="26"/>
  <c r="R90" i="26"/>
  <c r="Q89" i="26"/>
  <c r="T22" i="26"/>
  <c r="V24" i="26"/>
  <c r="U25" i="26"/>
  <c r="AC84" i="25"/>
  <c r="AK363" i="33"/>
  <c r="AK362" i="33"/>
  <c r="AK361" i="33"/>
  <c r="AK360" i="33"/>
  <c r="AK359" i="33"/>
  <c r="AK358" i="33"/>
  <c r="AK357" i="33"/>
  <c r="AK356" i="33"/>
  <c r="AK355" i="33"/>
  <c r="AK354" i="33"/>
  <c r="AK353" i="33"/>
  <c r="AK352" i="33"/>
  <c r="AK351" i="33"/>
  <c r="AK350" i="33"/>
  <c r="AK349" i="33"/>
  <c r="AK348" i="33"/>
  <c r="AK347" i="33"/>
  <c r="AK346" i="33"/>
  <c r="AK345" i="33"/>
  <c r="AK344" i="33"/>
  <c r="AK343" i="33"/>
  <c r="AK342" i="33"/>
  <c r="AK341" i="33"/>
  <c r="AK340" i="33"/>
  <c r="AK339" i="33"/>
  <c r="AK338" i="33"/>
  <c r="AK337" i="33"/>
  <c r="AK336" i="33"/>
  <c r="AK335" i="33"/>
  <c r="AK334" i="33"/>
  <c r="AK333" i="33"/>
  <c r="AK332" i="33"/>
  <c r="AK331" i="33"/>
  <c r="AK330" i="33"/>
  <c r="AK329" i="33"/>
  <c r="AK328" i="33"/>
  <c r="AK327" i="33"/>
  <c r="AK326" i="33"/>
  <c r="AK325" i="33"/>
  <c r="AK324" i="33"/>
  <c r="AK323" i="33"/>
  <c r="AK322" i="33"/>
  <c r="AK321" i="33"/>
  <c r="AK320" i="33"/>
  <c r="AK319" i="33"/>
  <c r="AK318" i="33"/>
  <c r="AK317" i="33"/>
  <c r="AK316" i="33"/>
  <c r="AK315" i="33"/>
  <c r="AK314" i="33"/>
  <c r="AK313" i="33"/>
  <c r="AK312" i="33"/>
  <c r="AK311" i="33"/>
  <c r="AK310" i="33"/>
  <c r="AK309" i="33"/>
  <c r="AK308" i="33"/>
  <c r="AK307" i="33"/>
  <c r="AK306" i="33"/>
  <c r="AK305" i="33"/>
  <c r="AK304" i="33"/>
  <c r="AK303" i="33"/>
  <c r="AK302" i="33"/>
  <c r="AK301" i="33"/>
  <c r="AK300" i="33"/>
  <c r="AK299" i="33"/>
  <c r="AK298" i="33"/>
  <c r="AK297" i="33"/>
  <c r="AK296" i="33"/>
  <c r="AK295" i="33"/>
  <c r="AK294" i="33"/>
  <c r="AK293" i="33"/>
  <c r="AK292" i="33"/>
  <c r="AK291" i="33"/>
  <c r="AK290" i="33"/>
  <c r="AK289" i="33"/>
  <c r="AK288" i="33"/>
  <c r="AK287" i="33"/>
  <c r="AK286" i="33"/>
  <c r="AK285" i="33"/>
  <c r="AK284" i="33"/>
  <c r="AK283" i="33"/>
  <c r="AK282" i="33"/>
  <c r="AK281" i="33"/>
  <c r="AK280" i="33"/>
  <c r="AK279" i="33"/>
  <c r="AK278" i="33"/>
  <c r="AK277" i="33"/>
  <c r="AK276" i="33"/>
  <c r="AK275" i="33"/>
  <c r="AK274" i="33"/>
  <c r="AK273" i="33"/>
  <c r="AK272" i="33"/>
  <c r="AK271" i="33"/>
  <c r="AK270" i="33"/>
  <c r="AK269" i="33"/>
  <c r="AK268" i="33"/>
  <c r="AK267" i="33"/>
  <c r="AK266" i="33"/>
  <c r="AK265" i="33"/>
  <c r="AK264" i="33"/>
  <c r="AK263" i="33"/>
  <c r="AK262" i="33"/>
  <c r="AK261" i="33"/>
  <c r="AK260" i="33"/>
  <c r="AK259" i="33"/>
  <c r="AK258" i="33"/>
  <c r="AK257" i="33"/>
  <c r="AK256" i="33"/>
  <c r="AK255" i="33"/>
  <c r="AK254" i="33"/>
  <c r="AK253" i="33"/>
  <c r="AK252" i="33"/>
  <c r="AK251" i="33"/>
  <c r="AK250" i="33"/>
  <c r="AK249" i="33"/>
  <c r="AK248" i="33"/>
  <c r="AK247" i="33"/>
  <c r="AK246" i="33"/>
  <c r="AK245" i="33"/>
  <c r="AK244" i="33"/>
  <c r="AK243" i="33"/>
  <c r="AK242" i="33"/>
  <c r="AK241" i="33"/>
  <c r="AK240" i="33"/>
  <c r="AK239" i="33"/>
  <c r="AK238" i="33"/>
  <c r="AK237" i="33"/>
  <c r="AK236" i="33"/>
  <c r="AK235" i="33"/>
  <c r="AK234" i="33"/>
  <c r="AK233" i="33"/>
  <c r="AK232" i="33"/>
  <c r="AK231" i="33"/>
  <c r="AK230" i="33"/>
  <c r="AK229" i="33"/>
  <c r="AK228" i="33"/>
  <c r="AK227" i="33"/>
  <c r="AK226" i="33"/>
  <c r="AK225" i="33"/>
  <c r="AK224" i="33"/>
  <c r="AK223" i="33"/>
  <c r="AK222" i="33"/>
  <c r="AK221" i="33"/>
  <c r="AK220" i="33"/>
  <c r="AK219" i="33"/>
  <c r="AK218" i="33"/>
  <c r="AK217" i="33"/>
  <c r="AK216" i="33"/>
  <c r="AK215" i="33"/>
  <c r="AK214" i="33"/>
  <c r="AK213" i="33"/>
  <c r="AK212" i="33"/>
  <c r="AK211" i="33"/>
  <c r="AK210" i="33"/>
  <c r="AK209" i="33"/>
  <c r="AK208" i="33"/>
  <c r="AK207" i="33"/>
  <c r="AK206" i="33"/>
  <c r="AK205" i="33"/>
  <c r="AK204" i="33"/>
  <c r="AK203" i="33"/>
  <c r="AK202" i="33"/>
  <c r="AK201" i="33"/>
  <c r="AK200" i="33"/>
  <c r="AK199" i="33"/>
  <c r="AK198" i="33"/>
  <c r="AK197" i="33"/>
  <c r="AK196" i="33"/>
  <c r="AK195" i="33"/>
  <c r="AK194" i="33"/>
  <c r="AK193" i="33"/>
  <c r="AK192" i="33"/>
  <c r="AK191" i="33"/>
  <c r="AK190" i="33"/>
  <c r="AK189" i="33"/>
  <c r="AK188" i="33"/>
  <c r="AK187" i="33"/>
  <c r="AK186" i="33"/>
  <c r="AK185" i="33"/>
  <c r="AK184" i="33"/>
  <c r="AK183" i="33"/>
  <c r="AK182" i="33"/>
  <c r="AK181" i="33"/>
  <c r="AK180" i="33"/>
  <c r="AK179" i="33"/>
  <c r="AK178" i="33"/>
  <c r="AK177" i="33"/>
  <c r="AK176" i="33"/>
  <c r="AK175" i="33"/>
  <c r="AK174" i="33"/>
  <c r="AK173" i="33"/>
  <c r="AK172" i="33"/>
  <c r="AK171" i="33"/>
  <c r="AK170" i="33"/>
  <c r="AK169" i="33"/>
  <c r="AK168" i="33"/>
  <c r="AK167" i="33"/>
  <c r="AK166" i="33"/>
  <c r="AK165" i="33"/>
  <c r="AK164" i="33"/>
  <c r="AK163" i="33"/>
  <c r="AK162" i="33"/>
  <c r="AK161" i="33"/>
  <c r="AK160" i="33"/>
  <c r="AK159" i="33"/>
  <c r="AK158" i="33"/>
  <c r="AK157" i="33"/>
  <c r="AK156" i="33"/>
  <c r="AK155" i="33"/>
  <c r="AK154" i="33"/>
  <c r="AK153" i="33"/>
  <c r="AK152" i="33"/>
  <c r="AK151" i="33"/>
  <c r="AK150" i="33"/>
  <c r="AK149" i="33"/>
  <c r="AK148" i="33"/>
  <c r="AK147" i="33"/>
  <c r="AK146" i="33"/>
  <c r="AK145" i="33"/>
  <c r="AK144" i="33"/>
  <c r="AK143" i="33"/>
  <c r="AK142" i="33"/>
  <c r="AK141" i="33"/>
  <c r="AK140" i="33"/>
  <c r="AK139" i="33"/>
  <c r="AK138" i="33"/>
  <c r="AK137" i="33"/>
  <c r="AK136" i="33"/>
  <c r="AK135" i="33"/>
  <c r="AK134" i="33"/>
  <c r="AK133" i="33"/>
  <c r="AK132" i="33"/>
  <c r="AK131" i="33"/>
  <c r="AK130" i="33"/>
  <c r="AK129" i="33"/>
  <c r="AK128" i="33"/>
  <c r="AK127" i="33"/>
  <c r="AK126" i="33"/>
  <c r="AK125" i="33"/>
  <c r="AK124" i="33"/>
  <c r="AK123" i="33"/>
  <c r="AK122" i="33"/>
  <c r="AK121" i="33"/>
  <c r="AK120" i="33"/>
  <c r="AK119" i="33"/>
  <c r="AK118" i="33"/>
  <c r="AK117" i="33"/>
  <c r="AK116" i="33"/>
  <c r="AK115" i="33"/>
  <c r="AK114" i="33"/>
  <c r="AK113" i="33"/>
  <c r="AK112" i="33"/>
  <c r="AK111" i="33"/>
  <c r="AK110" i="33"/>
  <c r="AK109" i="33"/>
  <c r="AK108" i="33"/>
  <c r="AK107" i="33"/>
  <c r="AK106" i="33"/>
  <c r="AK105" i="33"/>
  <c r="AK104" i="33"/>
  <c r="AK103" i="33"/>
  <c r="AK102" i="33"/>
  <c r="AK101" i="33"/>
  <c r="AK100" i="33"/>
  <c r="AK99" i="33"/>
  <c r="AK98" i="33"/>
  <c r="AK97" i="33"/>
  <c r="AK96" i="33"/>
  <c r="AK95" i="33"/>
  <c r="AK94" i="33"/>
  <c r="AK93" i="33"/>
  <c r="AK92" i="33"/>
  <c r="AK91" i="33"/>
  <c r="AK90" i="33"/>
  <c r="AK89" i="33"/>
  <c r="AK88" i="33"/>
  <c r="AK87" i="33"/>
  <c r="AK86" i="33"/>
  <c r="AK85" i="33"/>
  <c r="AK84" i="33"/>
  <c r="AK83" i="33"/>
  <c r="AK82" i="33"/>
  <c r="AK81" i="33"/>
  <c r="AK80" i="33"/>
  <c r="AK79" i="33"/>
  <c r="AK78" i="33"/>
  <c r="AK77" i="33"/>
  <c r="AK76" i="33"/>
  <c r="AK75" i="33"/>
  <c r="AK74" i="33"/>
  <c r="AK73" i="33"/>
  <c r="AK72" i="33"/>
  <c r="AK71" i="33"/>
  <c r="AK70" i="33"/>
  <c r="AK69" i="33"/>
  <c r="AK68" i="33"/>
  <c r="AK67" i="33"/>
  <c r="AK66" i="33"/>
  <c r="AK65" i="33"/>
  <c r="AK64" i="33"/>
  <c r="AK63" i="33"/>
  <c r="AK62" i="33"/>
  <c r="AK61" i="33"/>
  <c r="AK60" i="33"/>
  <c r="AK59" i="33"/>
  <c r="AK58" i="33"/>
  <c r="AK57" i="33"/>
  <c r="AK56" i="33"/>
  <c r="AK55" i="33"/>
  <c r="AK54" i="33"/>
  <c r="AK53" i="33"/>
  <c r="AK52" i="33"/>
  <c r="AK51" i="33"/>
  <c r="AK50" i="33"/>
  <c r="AK49" i="33"/>
  <c r="AK48" i="33"/>
  <c r="AK47" i="33"/>
  <c r="AK46" i="33"/>
  <c r="AK45" i="33"/>
  <c r="AK44" i="33"/>
  <c r="AK43" i="33"/>
  <c r="AK42" i="33"/>
  <c r="AK41" i="33"/>
  <c r="AK40" i="33"/>
  <c r="AK39" i="33"/>
  <c r="AK38" i="33"/>
  <c r="AK37" i="33"/>
  <c r="AK36" i="33"/>
  <c r="AK35" i="33"/>
  <c r="AK34" i="33"/>
  <c r="AK33" i="33"/>
  <c r="AK32" i="33"/>
  <c r="AK31" i="33"/>
  <c r="AK30" i="33"/>
  <c r="AK29" i="33"/>
  <c r="AK28" i="33"/>
  <c r="AK27" i="33"/>
  <c r="AK26" i="33"/>
  <c r="AK25" i="33"/>
  <c r="AK24" i="33"/>
  <c r="AK23" i="33"/>
  <c r="AK22" i="33"/>
  <c r="AK21" i="33"/>
  <c r="AK20" i="33"/>
  <c r="AK19" i="33"/>
  <c r="AK18" i="33"/>
  <c r="AK17" i="33"/>
  <c r="AK16" i="33"/>
  <c r="AK15" i="33"/>
  <c r="AK14" i="33"/>
  <c r="AK13" i="33"/>
  <c r="AK12" i="33"/>
  <c r="AK11" i="33"/>
  <c r="AK10" i="33"/>
  <c r="AK9" i="33"/>
  <c r="AK8" i="33"/>
  <c r="AK7" i="33"/>
  <c r="AK6" i="33"/>
  <c r="AK5" i="33"/>
  <c r="AK4" i="33"/>
  <c r="AK3" i="33"/>
  <c r="AH362" i="33"/>
  <c r="AH361" i="33"/>
  <c r="AH360" i="33"/>
  <c r="AH359" i="33"/>
  <c r="AH358" i="33"/>
  <c r="AH357" i="33"/>
  <c r="AH356" i="33"/>
  <c r="AH355" i="33"/>
  <c r="AH354" i="33"/>
  <c r="AH353" i="33"/>
  <c r="AH352" i="33"/>
  <c r="AH351" i="33"/>
  <c r="AH350" i="33"/>
  <c r="AH349" i="33"/>
  <c r="AH348" i="33"/>
  <c r="AH347" i="33"/>
  <c r="AH346" i="33"/>
  <c r="AH345" i="33"/>
  <c r="AH344" i="33"/>
  <c r="AH343" i="33"/>
  <c r="AH342" i="33"/>
  <c r="AH341" i="33"/>
  <c r="AH340" i="33"/>
  <c r="AH339" i="33"/>
  <c r="AH338" i="33"/>
  <c r="AH337" i="33"/>
  <c r="AH336" i="33"/>
  <c r="AH335" i="33"/>
  <c r="AH334" i="33"/>
  <c r="AH333" i="33"/>
  <c r="AH332" i="33"/>
  <c r="AH331" i="33"/>
  <c r="AH330" i="33"/>
  <c r="AH329" i="33"/>
  <c r="AH328" i="33"/>
  <c r="AH327" i="33"/>
  <c r="AH326" i="33"/>
  <c r="AH325" i="33"/>
  <c r="AH324" i="33"/>
  <c r="AH323" i="33"/>
  <c r="AH322" i="33"/>
  <c r="AH321" i="33"/>
  <c r="AH320" i="33"/>
  <c r="AH319" i="33"/>
  <c r="AH318" i="33"/>
  <c r="AH317" i="33"/>
  <c r="AH316" i="33"/>
  <c r="AH315" i="33"/>
  <c r="AH314" i="33"/>
  <c r="AH313" i="33"/>
  <c r="AH312" i="33"/>
  <c r="AH311" i="33"/>
  <c r="AH310" i="33"/>
  <c r="AH309" i="33"/>
  <c r="AH308" i="33"/>
  <c r="AH307" i="33"/>
  <c r="AH306" i="33"/>
  <c r="AH305" i="33"/>
  <c r="AH304" i="33"/>
  <c r="AH303" i="33"/>
  <c r="AH302" i="33"/>
  <c r="AH301" i="33"/>
  <c r="AH300" i="33"/>
  <c r="AH299" i="33"/>
  <c r="AH298" i="33"/>
  <c r="AH297" i="33"/>
  <c r="AH296" i="33"/>
  <c r="AH295" i="33"/>
  <c r="AH294" i="33"/>
  <c r="AH293" i="33"/>
  <c r="AH292" i="33"/>
  <c r="AH291" i="33"/>
  <c r="AH290" i="33"/>
  <c r="AH289" i="33"/>
  <c r="AH288" i="33"/>
  <c r="AH287" i="33"/>
  <c r="AH286" i="33"/>
  <c r="AH285" i="33"/>
  <c r="AH284" i="33"/>
  <c r="AH283" i="33"/>
  <c r="AH282" i="33"/>
  <c r="AH281" i="33"/>
  <c r="AH280" i="33"/>
  <c r="AH279" i="33"/>
  <c r="AH278" i="33"/>
  <c r="AH277" i="33"/>
  <c r="AH276" i="33"/>
  <c r="AH275" i="33"/>
  <c r="AH274" i="33"/>
  <c r="AH273" i="33"/>
  <c r="AH272" i="33"/>
  <c r="AH271" i="33"/>
  <c r="AH270" i="33"/>
  <c r="AH269" i="33"/>
  <c r="AH268" i="33"/>
  <c r="AH267" i="33"/>
  <c r="AH266" i="33"/>
  <c r="AH265" i="33"/>
  <c r="AH264" i="33"/>
  <c r="AH263" i="33"/>
  <c r="AH262" i="33"/>
  <c r="AH261" i="33"/>
  <c r="AH260" i="33"/>
  <c r="AH259" i="33"/>
  <c r="AH258" i="33"/>
  <c r="AH257" i="33"/>
  <c r="AH256" i="33"/>
  <c r="AH255" i="33"/>
  <c r="AH254" i="33"/>
  <c r="AH253" i="33"/>
  <c r="AH252" i="33"/>
  <c r="AH251" i="33"/>
  <c r="AH250" i="33"/>
  <c r="AH249" i="33"/>
  <c r="AH248" i="33"/>
  <c r="AH247" i="33"/>
  <c r="AH246" i="33"/>
  <c r="AH245" i="33"/>
  <c r="AH244" i="33"/>
  <c r="AH243" i="33"/>
  <c r="AH242" i="33"/>
  <c r="AH241" i="33"/>
  <c r="AH240" i="33"/>
  <c r="AH239" i="33"/>
  <c r="AH238" i="33"/>
  <c r="AH237" i="33"/>
  <c r="AH236" i="33"/>
  <c r="AH235" i="33"/>
  <c r="AH234" i="33"/>
  <c r="AH233" i="33"/>
  <c r="AH232" i="33"/>
  <c r="AH231" i="33"/>
  <c r="AH230" i="33"/>
  <c r="AH229" i="33"/>
  <c r="AH228" i="33"/>
  <c r="AH227" i="33"/>
  <c r="AH226" i="33"/>
  <c r="AH225" i="33"/>
  <c r="AH224" i="33"/>
  <c r="AH223" i="33"/>
  <c r="AH222" i="33"/>
  <c r="AH221" i="33"/>
  <c r="AH220" i="33"/>
  <c r="AH219" i="33"/>
  <c r="AH218" i="33"/>
  <c r="AH217" i="33"/>
  <c r="AH216" i="33"/>
  <c r="AH215" i="33"/>
  <c r="AH214" i="33"/>
  <c r="AH213" i="33"/>
  <c r="AH212" i="33"/>
  <c r="AH211" i="33"/>
  <c r="AH210" i="33"/>
  <c r="AH209" i="33"/>
  <c r="AH208" i="33"/>
  <c r="AH207" i="33"/>
  <c r="AH206" i="33"/>
  <c r="AH205" i="33"/>
  <c r="AH204" i="33"/>
  <c r="AH203" i="33"/>
  <c r="AH202" i="33"/>
  <c r="AH201" i="33"/>
  <c r="AH200" i="33"/>
  <c r="AH199" i="33"/>
  <c r="AH198" i="33"/>
  <c r="AH197" i="33"/>
  <c r="AH196" i="33"/>
  <c r="AH195" i="33"/>
  <c r="AH194" i="33"/>
  <c r="AH193" i="33"/>
  <c r="AH192" i="33"/>
  <c r="AH191" i="33"/>
  <c r="AH190" i="33"/>
  <c r="AH189" i="33"/>
  <c r="AH188" i="33"/>
  <c r="AH187" i="33"/>
  <c r="AH186" i="33"/>
  <c r="AH185" i="33"/>
  <c r="AH184" i="33"/>
  <c r="AH183" i="33"/>
  <c r="AH182" i="33"/>
  <c r="AH181" i="33"/>
  <c r="AH180" i="33"/>
  <c r="AH179" i="33"/>
  <c r="AH178" i="33"/>
  <c r="AH177" i="33"/>
  <c r="AH176" i="33"/>
  <c r="AH175" i="33"/>
  <c r="AH174" i="33"/>
  <c r="AH173" i="33"/>
  <c r="AH172" i="33"/>
  <c r="AH171" i="33"/>
  <c r="AH170" i="33"/>
  <c r="AH169" i="33"/>
  <c r="AH168" i="33"/>
  <c r="AH167" i="33"/>
  <c r="AH166" i="33"/>
  <c r="AH165" i="33"/>
  <c r="AH164" i="33"/>
  <c r="AH163" i="33"/>
  <c r="AH162" i="33"/>
  <c r="AH161" i="33"/>
  <c r="AH160" i="33"/>
  <c r="AH159" i="33"/>
  <c r="AH158" i="33"/>
  <c r="AH157" i="33"/>
  <c r="AH156" i="33"/>
  <c r="AH155" i="33"/>
  <c r="AH154" i="33"/>
  <c r="AH153" i="33"/>
  <c r="AH152" i="33"/>
  <c r="AH151" i="33"/>
  <c r="AH150" i="33"/>
  <c r="AH149" i="33"/>
  <c r="AH148" i="33"/>
  <c r="AH147" i="33"/>
  <c r="AH146" i="33"/>
  <c r="AH145" i="33"/>
  <c r="AH144" i="33"/>
  <c r="AH143" i="33"/>
  <c r="AH142" i="33"/>
  <c r="AH141" i="33"/>
  <c r="AH140" i="33"/>
  <c r="AH139" i="33"/>
  <c r="AH138" i="33"/>
  <c r="AH137" i="33"/>
  <c r="AH136" i="33"/>
  <c r="AH135" i="33"/>
  <c r="AH134" i="33"/>
  <c r="AH133" i="33"/>
  <c r="AH132" i="33"/>
  <c r="AH131" i="33"/>
  <c r="AH130" i="33"/>
  <c r="AH129" i="33"/>
  <c r="AH128" i="33"/>
  <c r="AH127" i="33"/>
  <c r="AH126" i="33"/>
  <c r="AH125" i="33"/>
  <c r="AH124" i="33"/>
  <c r="AH123" i="33"/>
  <c r="AH122" i="33"/>
  <c r="AH121" i="33"/>
  <c r="AH120" i="33"/>
  <c r="AH119" i="33"/>
  <c r="AH118" i="33"/>
  <c r="AH117" i="33"/>
  <c r="AH116" i="33"/>
  <c r="AH115" i="33"/>
  <c r="AH114" i="33"/>
  <c r="AH113" i="33"/>
  <c r="AH112" i="33"/>
  <c r="AH111" i="33"/>
  <c r="AH110" i="33"/>
  <c r="AH109" i="33"/>
  <c r="AH108" i="33"/>
  <c r="AH107" i="33"/>
  <c r="AH106" i="33"/>
  <c r="AH105" i="33"/>
  <c r="AH104" i="33"/>
  <c r="AH103" i="33"/>
  <c r="AH102" i="33"/>
  <c r="AH101" i="33"/>
  <c r="AH100" i="33"/>
  <c r="AH99" i="33"/>
  <c r="AH98" i="33"/>
  <c r="AH97" i="33"/>
  <c r="AH96" i="33"/>
  <c r="AH95" i="33"/>
  <c r="AH94" i="33"/>
  <c r="AH93" i="33"/>
  <c r="AH92" i="33"/>
  <c r="AH91" i="33"/>
  <c r="AH90" i="33"/>
  <c r="AH89" i="33"/>
  <c r="AH88" i="33"/>
  <c r="AH87" i="33"/>
  <c r="AH86" i="33"/>
  <c r="AH85" i="33"/>
  <c r="AH84" i="33"/>
  <c r="AH83" i="33"/>
  <c r="AH82" i="33"/>
  <c r="AH81" i="33"/>
  <c r="AH80" i="33"/>
  <c r="AH79" i="33"/>
  <c r="AH78" i="33"/>
  <c r="AH77" i="33"/>
  <c r="AH76" i="33"/>
  <c r="AH75" i="33"/>
  <c r="AH74" i="33"/>
  <c r="AH73" i="33"/>
  <c r="AH72" i="33"/>
  <c r="AH71" i="33"/>
  <c r="AH70" i="33"/>
  <c r="AH69" i="33"/>
  <c r="AH68" i="33"/>
  <c r="AH67" i="33"/>
  <c r="AH66" i="33"/>
  <c r="AH65" i="33"/>
  <c r="AH64" i="33"/>
  <c r="AH63" i="33"/>
  <c r="AH62" i="33"/>
  <c r="AH61" i="33"/>
  <c r="AH60" i="33"/>
  <c r="AH59" i="33"/>
  <c r="AH58" i="33"/>
  <c r="AH57" i="33"/>
  <c r="AH56" i="33"/>
  <c r="AH55" i="33"/>
  <c r="AH54" i="33"/>
  <c r="AH53" i="33"/>
  <c r="AH52" i="33"/>
  <c r="AH51" i="33"/>
  <c r="AH50" i="33"/>
  <c r="AH49" i="33"/>
  <c r="AH48" i="33"/>
  <c r="AH47" i="33"/>
  <c r="AH46" i="33"/>
  <c r="AH45" i="33"/>
  <c r="AH44" i="33"/>
  <c r="AH43" i="33"/>
  <c r="AH42" i="33"/>
  <c r="AH41" i="33"/>
  <c r="AH40" i="33"/>
  <c r="AH39" i="33"/>
  <c r="AH38" i="33"/>
  <c r="AH37" i="33"/>
  <c r="AH36" i="33"/>
  <c r="AH35" i="33"/>
  <c r="AH34" i="33"/>
  <c r="AH33" i="33"/>
  <c r="AH32" i="33"/>
  <c r="AH31" i="33"/>
  <c r="AH30" i="33"/>
  <c r="AH29" i="33"/>
  <c r="AH28" i="33"/>
  <c r="AH27" i="33"/>
  <c r="AH26" i="33"/>
  <c r="AH25" i="33"/>
  <c r="AH24" i="33"/>
  <c r="AH23" i="33"/>
  <c r="AH22" i="33"/>
  <c r="AH21" i="33"/>
  <c r="AH20" i="33"/>
  <c r="AH19" i="33"/>
  <c r="AH18" i="33"/>
  <c r="AH17" i="33"/>
  <c r="AH16" i="33"/>
  <c r="AH15" i="33"/>
  <c r="AH14" i="33"/>
  <c r="AH13" i="33"/>
  <c r="AH12" i="33"/>
  <c r="AH11" i="33"/>
  <c r="AH10" i="33"/>
  <c r="AH9" i="33"/>
  <c r="AH8" i="33"/>
  <c r="AH7" i="33"/>
  <c r="AH6" i="33"/>
  <c r="AH5" i="33"/>
  <c r="AH4" i="33"/>
  <c r="AH3" i="33"/>
  <c r="AG84" i="25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V90" i="26"/>
  <c r="U89" i="26"/>
  <c r="R24" i="26"/>
  <c r="Q25" i="26"/>
  <c r="R42" i="26"/>
  <c r="Q41" i="26"/>
  <c r="AE84" i="25"/>
  <c r="AA84" i="25"/>
  <c r="AA86" i="25"/>
  <c r="AA88" i="25"/>
  <c r="R23" i="26"/>
  <c r="Q24" i="26"/>
  <c r="AE86" i="25"/>
  <c r="AE88" i="25"/>
  <c r="AE91" i="25"/>
  <c r="AD84" i="25"/>
  <c r="AD86" i="25"/>
  <c r="AD88" i="25"/>
  <c r="AH84" i="25"/>
  <c r="AH86" i="25"/>
  <c r="AH88" i="25"/>
  <c r="AB84" i="25"/>
  <c r="AB86" i="25"/>
  <c r="AB88" i="25"/>
  <c r="AF84" i="25"/>
  <c r="AF86" i="25"/>
  <c r="AF88" i="25"/>
  <c r="AA91" i="25"/>
  <c r="R43" i="26"/>
  <c r="Q42" i="26"/>
  <c r="V91" i="26"/>
  <c r="U90" i="2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AG86" i="25"/>
  <c r="AG88" i="25"/>
  <c r="AG91" i="25"/>
  <c r="AC86" i="25"/>
  <c r="AC88" i="25"/>
  <c r="AC91" i="25"/>
  <c r="V23" i="26"/>
  <c r="U24" i="26"/>
  <c r="T21" i="26"/>
  <c r="R91" i="26"/>
  <c r="Q90" i="26"/>
  <c r="V43" i="26"/>
  <c r="U42" i="2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V92" i="26"/>
  <c r="U91" i="26"/>
  <c r="R44" i="26"/>
  <c r="Q43" i="26"/>
  <c r="R22" i="26"/>
  <c r="Q23" i="26"/>
  <c r="F73" i="16"/>
  <c r="F72" i="16"/>
  <c r="F71" i="16"/>
  <c r="F70" i="16"/>
  <c r="F69" i="16"/>
  <c r="F68" i="16"/>
  <c r="F67" i="16"/>
  <c r="F66" i="16"/>
  <c r="F65" i="16"/>
  <c r="F64" i="16"/>
  <c r="F63" i="16"/>
  <c r="V44" i="26"/>
  <c r="U43" i="26"/>
  <c r="R92" i="26"/>
  <c r="Q91" i="26"/>
  <c r="T20" i="26"/>
  <c r="V22" i="26"/>
  <c r="U23" i="26"/>
  <c r="AF91" i="25"/>
  <c r="AB91" i="25"/>
  <c r="AH91" i="25"/>
  <c r="AD91" i="25"/>
  <c r="V21" i="26"/>
  <c r="U22" i="26"/>
  <c r="T19" i="26"/>
  <c r="R93" i="26"/>
  <c r="Q92" i="26"/>
  <c r="V45" i="26"/>
  <c r="U44" i="2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R21" i="26"/>
  <c r="Q22" i="26"/>
  <c r="R45" i="26"/>
  <c r="Q44" i="26"/>
  <c r="V93" i="26"/>
  <c r="U92" i="26"/>
  <c r="V94" i="26"/>
  <c r="U93" i="26"/>
  <c r="R46" i="26"/>
  <c r="Q45" i="26"/>
  <c r="R20" i="26"/>
  <c r="Q21" i="26"/>
  <c r="V46" i="26"/>
  <c r="U45" i="26"/>
  <c r="R94" i="26"/>
  <c r="Q93" i="26"/>
  <c r="T18" i="26"/>
  <c r="V20" i="26"/>
  <c r="U21" i="26"/>
  <c r="V19" i="26"/>
  <c r="U20" i="26"/>
  <c r="T17" i="26"/>
  <c r="R95" i="26"/>
  <c r="Q94" i="26"/>
  <c r="V47" i="26"/>
  <c r="U46" i="26"/>
  <c r="R19" i="26"/>
  <c r="Q20" i="26"/>
  <c r="R47" i="26"/>
  <c r="Q46" i="26"/>
  <c r="V95" i="26"/>
  <c r="U94" i="26"/>
  <c r="R48" i="26"/>
  <c r="Q47" i="26"/>
  <c r="V48" i="26"/>
  <c r="U47" i="26"/>
  <c r="V96" i="26"/>
  <c r="U95" i="26"/>
  <c r="R18" i="26"/>
  <c r="Q19" i="26"/>
  <c r="R96" i="26"/>
  <c r="Q95" i="26"/>
  <c r="T16" i="26"/>
  <c r="V18" i="26"/>
  <c r="U19" i="26"/>
  <c r="V17" i="26"/>
  <c r="U18" i="26"/>
  <c r="T15" i="26"/>
  <c r="R97" i="26"/>
  <c r="Q96" i="26"/>
  <c r="R17" i="26"/>
  <c r="Q18" i="26"/>
  <c r="V97" i="26"/>
  <c r="U96" i="26"/>
  <c r="V49" i="26"/>
  <c r="U48" i="26"/>
  <c r="R49" i="26"/>
  <c r="Q48" i="26"/>
  <c r="R50" i="26"/>
  <c r="Q49" i="26"/>
  <c r="V50" i="26"/>
  <c r="U49" i="26"/>
  <c r="V98" i="26"/>
  <c r="U97" i="26"/>
  <c r="R16" i="26"/>
  <c r="Q17" i="26"/>
  <c r="R98" i="26"/>
  <c r="Q97" i="26"/>
  <c r="T14" i="26"/>
  <c r="V16" i="26"/>
  <c r="U17" i="26"/>
  <c r="V15" i="26"/>
  <c r="U16" i="26"/>
  <c r="T13" i="26"/>
  <c r="R99" i="26"/>
  <c r="Q98" i="26"/>
  <c r="R15" i="26"/>
  <c r="Q16" i="26"/>
  <c r="V99" i="26"/>
  <c r="U98" i="26"/>
  <c r="V51" i="26"/>
  <c r="U50" i="26"/>
  <c r="R51" i="26"/>
  <c r="Q50" i="26"/>
  <c r="R52" i="26"/>
  <c r="Q51" i="26"/>
  <c r="V52" i="26"/>
  <c r="U51" i="26"/>
  <c r="V100" i="26"/>
  <c r="U99" i="26"/>
  <c r="R14" i="26"/>
  <c r="Q15" i="26"/>
  <c r="R100" i="26"/>
  <c r="Q99" i="26"/>
  <c r="T12" i="26"/>
  <c r="V14" i="26"/>
  <c r="U15" i="26"/>
  <c r="V13" i="26"/>
  <c r="U14" i="26"/>
  <c r="T11" i="26"/>
  <c r="R101" i="26"/>
  <c r="Q100" i="26"/>
  <c r="R13" i="26"/>
  <c r="Q14" i="26"/>
  <c r="V101" i="26"/>
  <c r="U100" i="26"/>
  <c r="V53" i="26"/>
  <c r="U52" i="26"/>
  <c r="R53" i="26"/>
  <c r="Q52" i="26"/>
  <c r="R54" i="26"/>
  <c r="Q53" i="26"/>
  <c r="V54" i="26"/>
  <c r="U53" i="26"/>
  <c r="V102" i="26"/>
  <c r="U101" i="26"/>
  <c r="R12" i="26"/>
  <c r="Q13" i="26"/>
  <c r="R102" i="26"/>
  <c r="Q101" i="26"/>
  <c r="T10" i="26"/>
  <c r="V12" i="26"/>
  <c r="U13" i="26"/>
  <c r="V11" i="26"/>
  <c r="U12" i="26"/>
  <c r="T9" i="26"/>
  <c r="R103" i="26"/>
  <c r="Q102" i="26"/>
  <c r="R11" i="26"/>
  <c r="Q12" i="26"/>
  <c r="V103" i="26"/>
  <c r="U102" i="26"/>
  <c r="U54" i="26"/>
  <c r="V55" i="26"/>
  <c r="R55" i="26"/>
  <c r="Q54" i="26"/>
  <c r="V56" i="26"/>
  <c r="U55" i="26"/>
  <c r="R56" i="26"/>
  <c r="Q55" i="26"/>
  <c r="V104" i="26"/>
  <c r="U103" i="26"/>
  <c r="R10" i="26"/>
  <c r="Q11" i="26"/>
  <c r="R104" i="26"/>
  <c r="Q103" i="26"/>
  <c r="T8" i="26"/>
  <c r="V10" i="26"/>
  <c r="U11" i="26"/>
  <c r="V9" i="26"/>
  <c r="U10" i="26"/>
  <c r="T7" i="26"/>
  <c r="R105" i="26"/>
  <c r="Q104" i="26"/>
  <c r="R9" i="26"/>
  <c r="Q10" i="26"/>
  <c r="V105" i="26"/>
  <c r="U104" i="26"/>
  <c r="R57" i="26"/>
  <c r="Q56" i="26"/>
  <c r="V57" i="26"/>
  <c r="U56" i="26"/>
  <c r="V58" i="26"/>
  <c r="U57" i="26"/>
  <c r="R58" i="26"/>
  <c r="Q57" i="26"/>
  <c r="V106" i="26"/>
  <c r="U105" i="26"/>
  <c r="R8" i="26"/>
  <c r="Q9" i="26"/>
  <c r="R106" i="26"/>
  <c r="Q105" i="26"/>
  <c r="T6" i="26"/>
  <c r="V8" i="26"/>
  <c r="U9" i="26"/>
  <c r="V7" i="26"/>
  <c r="U8" i="26"/>
  <c r="T5" i="26"/>
  <c r="R107" i="26"/>
  <c r="Q106" i="26"/>
  <c r="R7" i="26"/>
  <c r="Q8" i="26"/>
  <c r="V107" i="26"/>
  <c r="U106" i="26"/>
  <c r="R59" i="26"/>
  <c r="Q58" i="26"/>
  <c r="V59" i="26"/>
  <c r="U58" i="26"/>
  <c r="V60" i="26"/>
  <c r="U59" i="26"/>
  <c r="R60" i="26"/>
  <c r="Q59" i="26"/>
  <c r="V108" i="26"/>
  <c r="U107" i="26"/>
  <c r="R6" i="26"/>
  <c r="Q7" i="26"/>
  <c r="R108" i="26"/>
  <c r="Q107" i="26"/>
  <c r="T4" i="26"/>
  <c r="V6" i="26"/>
  <c r="U7" i="26"/>
  <c r="V5" i="26"/>
  <c r="U6" i="26"/>
  <c r="T3" i="26"/>
  <c r="R109" i="26"/>
  <c r="Q108" i="26"/>
  <c r="R5" i="26"/>
  <c r="Q6" i="26"/>
  <c r="V109" i="26"/>
  <c r="U108" i="26"/>
  <c r="R61" i="26"/>
  <c r="Q60" i="26"/>
  <c r="V61" i="26"/>
  <c r="U60" i="26"/>
  <c r="V62" i="26"/>
  <c r="U61" i="26"/>
  <c r="R62" i="26"/>
  <c r="Q61" i="26"/>
  <c r="V110" i="26"/>
  <c r="U109" i="26"/>
  <c r="R4" i="26"/>
  <c r="Q5" i="26"/>
  <c r="R110" i="26"/>
  <c r="Q109" i="26"/>
  <c r="V4" i="26"/>
  <c r="U5" i="26"/>
  <c r="V3" i="26"/>
  <c r="U3" i="26"/>
  <c r="U4" i="26"/>
  <c r="R111" i="26"/>
  <c r="Q110" i="26"/>
  <c r="R3" i="26"/>
  <c r="Q3" i="26"/>
  <c r="Q4" i="26"/>
  <c r="V111" i="26"/>
  <c r="U110" i="26"/>
  <c r="R63" i="26"/>
  <c r="Q62" i="26"/>
  <c r="V63" i="26"/>
  <c r="U62" i="26"/>
  <c r="V64" i="26"/>
  <c r="U63" i="26"/>
  <c r="R64" i="26"/>
  <c r="Q63" i="26"/>
  <c r="V112" i="26"/>
  <c r="U111" i="26"/>
  <c r="R112" i="26"/>
  <c r="Q111" i="26"/>
  <c r="R113" i="26"/>
  <c r="Q112" i="26"/>
  <c r="V113" i="26"/>
  <c r="U112" i="26"/>
  <c r="R65" i="26"/>
  <c r="Q64" i="26"/>
  <c r="V65" i="26"/>
  <c r="U64" i="26"/>
  <c r="V66" i="26"/>
  <c r="U65" i="26"/>
  <c r="R66" i="26"/>
  <c r="Q65" i="26"/>
  <c r="V114" i="26"/>
  <c r="U113" i="26"/>
  <c r="R114" i="26"/>
  <c r="Q113" i="26"/>
  <c r="R115" i="26"/>
  <c r="Q114" i="26"/>
  <c r="V115" i="26"/>
  <c r="U114" i="26"/>
  <c r="R67" i="26"/>
  <c r="Q66" i="26"/>
  <c r="V67" i="26"/>
  <c r="U66" i="26"/>
  <c r="V68" i="26"/>
  <c r="U67" i="26"/>
  <c r="R68" i="26"/>
  <c r="Q67" i="26"/>
  <c r="V116" i="26"/>
  <c r="U115" i="26"/>
  <c r="R116" i="26"/>
  <c r="Q115" i="26"/>
  <c r="R117" i="26"/>
  <c r="Q116" i="26"/>
  <c r="V117" i="26"/>
  <c r="U116" i="26"/>
  <c r="R69" i="26"/>
  <c r="Q68" i="26"/>
  <c r="V69" i="26"/>
  <c r="U68" i="26"/>
  <c r="V70" i="26"/>
  <c r="U69" i="26"/>
  <c r="R70" i="26"/>
  <c r="Q69" i="26"/>
  <c r="V118" i="26"/>
  <c r="U117" i="26"/>
  <c r="R118" i="26"/>
  <c r="Q117" i="26"/>
  <c r="R119" i="26"/>
  <c r="Q118" i="26"/>
  <c r="V119" i="26"/>
  <c r="U118" i="26"/>
  <c r="R71" i="26"/>
  <c r="Q70" i="26"/>
  <c r="V71" i="26"/>
  <c r="U70" i="26"/>
  <c r="V72" i="26"/>
  <c r="U71" i="26"/>
  <c r="R72" i="26"/>
  <c r="Q71" i="26"/>
  <c r="V120" i="26"/>
  <c r="U119" i="26"/>
  <c r="R120" i="26"/>
  <c r="Q119" i="26"/>
  <c r="R121" i="26"/>
  <c r="Q120" i="26"/>
  <c r="V121" i="26"/>
  <c r="U120" i="26"/>
  <c r="R73" i="26"/>
  <c r="Q72" i="26"/>
  <c r="V73" i="26"/>
  <c r="U72" i="26"/>
  <c r="V74" i="26"/>
  <c r="U73" i="26"/>
  <c r="R74" i="26"/>
  <c r="Q73" i="26"/>
  <c r="V122" i="26"/>
  <c r="U121" i="26"/>
  <c r="R122" i="26"/>
  <c r="Q121" i="26"/>
  <c r="R123" i="26"/>
  <c r="Q123" i="26"/>
  <c r="Q122" i="26"/>
  <c r="V123" i="26"/>
  <c r="U123" i="26"/>
  <c r="U122" i="26"/>
  <c r="R75" i="26"/>
  <c r="Q74" i="26"/>
  <c r="V75" i="26"/>
  <c r="U74" i="26"/>
  <c r="V76" i="26"/>
  <c r="U75" i="26"/>
  <c r="R76" i="26"/>
  <c r="Q75" i="26"/>
  <c r="R77" i="26"/>
  <c r="Q76" i="26"/>
  <c r="V77" i="26"/>
  <c r="U76" i="26"/>
  <c r="V78" i="26"/>
  <c r="U77" i="26"/>
  <c r="R78" i="26"/>
  <c r="Q77" i="26"/>
  <c r="R79" i="26"/>
  <c r="Q78" i="26"/>
  <c r="V79" i="26"/>
  <c r="U78" i="26"/>
  <c r="V80" i="26"/>
  <c r="U80" i="26"/>
  <c r="U79" i="26"/>
  <c r="R80" i="26"/>
  <c r="Q80" i="26"/>
  <c r="Q79" i="26"/>
  <c r="C31" i="2" l="1"/>
  <c r="C30" i="2" s="1"/>
  <c r="D31" i="2"/>
  <c r="V6" i="2"/>
  <c r="V3" i="2" s="1"/>
  <c r="B31" i="1"/>
  <c r="B19" i="1"/>
  <c r="B4" i="28"/>
  <c r="C3" i="28" s="1"/>
  <c r="B23" i="1" s="1"/>
  <c r="B32" i="1"/>
  <c r="B30" i="1"/>
  <c r="B21" i="1"/>
  <c r="B3" i="28"/>
  <c r="B22" i="1" s="1"/>
  <c r="A127" i="26"/>
  <c r="R132" i="26" s="1"/>
  <c r="M99" i="2"/>
  <c r="M95" i="2" s="1"/>
  <c r="C127" i="26"/>
  <c r="C152" i="26" s="1"/>
  <c r="K22" i="2"/>
  <c r="K20" i="2"/>
  <c r="C135" i="26"/>
  <c r="C137" i="26" s="1"/>
  <c r="C150" i="26" s="1"/>
  <c r="A135" i="26"/>
  <c r="A137" i="26" s="1"/>
  <c r="A150" i="26" s="1"/>
  <c r="B4" i="22"/>
  <c r="B5" i="22" s="1"/>
  <c r="M207" i="2"/>
  <c r="M202" i="2" s="1"/>
  <c r="M243" i="2"/>
  <c r="M238" i="2" s="1"/>
  <c r="B13" i="25"/>
  <c r="A136" i="26"/>
  <c r="A148" i="26" s="1"/>
  <c r="C153" i="2"/>
  <c r="C155" i="2" s="1"/>
  <c r="M148" i="2" s="1"/>
  <c r="D32" i="2"/>
  <c r="K34" i="2" s="1"/>
  <c r="O20" i="2"/>
  <c r="N20" i="2"/>
  <c r="G130" i="2"/>
  <c r="I34" i="34"/>
  <c r="B12" i="25"/>
  <c r="N19" i="22"/>
  <c r="N20" i="22" s="1"/>
  <c r="O37" i="22"/>
  <c r="O38" i="22" s="1"/>
  <c r="G40" i="2"/>
  <c r="M81" i="2"/>
  <c r="M75" i="2" s="1"/>
  <c r="M80" i="2" s="1"/>
  <c r="K12" i="25"/>
  <c r="M225" i="2"/>
  <c r="M219" i="2" s="1"/>
  <c r="J221" i="2" s="1"/>
  <c r="M171" i="2"/>
  <c r="M165" i="2" s="1"/>
  <c r="G166" i="2" s="1"/>
  <c r="M262" i="2"/>
  <c r="M258" i="2" s="1"/>
  <c r="M189" i="2"/>
  <c r="M183" i="2" s="1"/>
  <c r="M188" i="2" s="1"/>
  <c r="C159" i="2"/>
  <c r="C161" i="2" s="1"/>
  <c r="M149" i="2" s="1"/>
  <c r="C141" i="2"/>
  <c r="C143" i="2" s="1"/>
  <c r="M131" i="2" s="1"/>
  <c r="M40" i="2"/>
  <c r="B32" i="2"/>
  <c r="C32" i="2"/>
  <c r="J149" i="2"/>
  <c r="J152" i="2" s="1"/>
  <c r="A152" i="26"/>
  <c r="J31" i="25" a="1"/>
  <c r="J31" i="25" s="1"/>
  <c r="B25" i="22"/>
  <c r="B26" i="22" s="1"/>
  <c r="S19" i="22"/>
  <c r="S20" i="22" s="1"/>
  <c r="C12" i="25"/>
  <c r="J41" i="2"/>
  <c r="M44" i="2"/>
  <c r="C13" i="25"/>
  <c r="K13" i="25"/>
  <c r="M13" i="25" s="1"/>
  <c r="F30" i="22"/>
  <c r="F31" i="22" s="1"/>
  <c r="S9" i="22"/>
  <c r="S10" i="22" s="1"/>
  <c r="G4" i="22"/>
  <c r="G5" i="22" s="1"/>
  <c r="B47" i="22"/>
  <c r="B48" i="22" s="1"/>
  <c r="J30" i="22"/>
  <c r="J31" i="22" s="1"/>
  <c r="C9" i="22"/>
  <c r="C10" i="22" s="1"/>
  <c r="C36" i="22"/>
  <c r="C37" i="22" s="1"/>
  <c r="N37" i="22"/>
  <c r="N38" i="22" s="1"/>
  <c r="K9" i="22"/>
  <c r="K10" i="22" s="1"/>
  <c r="B14" i="22"/>
  <c r="B15" i="22" s="1"/>
  <c r="O31" i="22"/>
  <c r="O32" i="22" s="1"/>
  <c r="C19" i="22"/>
  <c r="C20" i="22" s="1"/>
  <c r="J19" i="22"/>
  <c r="J20" i="22" s="1"/>
  <c r="O19" i="22"/>
  <c r="O20" i="22" s="1"/>
  <c r="B19" i="22"/>
  <c r="B20" i="22" s="1"/>
  <c r="S31" i="22"/>
  <c r="S32" i="22" s="1"/>
  <c r="R19" i="22"/>
  <c r="R20" i="22" s="1"/>
  <c r="N4" i="22"/>
  <c r="N5" i="22" s="1"/>
  <c r="F41" i="22"/>
  <c r="F42" i="22" s="1"/>
  <c r="G30" i="22"/>
  <c r="G31" i="22" s="1"/>
  <c r="C4" i="22"/>
  <c r="C5" i="22" s="1"/>
  <c r="J36" i="22"/>
  <c r="J37" i="22" s="1"/>
  <c r="K36" i="22"/>
  <c r="K37" i="22" s="1"/>
  <c r="G19" i="22"/>
  <c r="G20" i="22" s="1"/>
  <c r="O24" i="22"/>
  <c r="K34" i="21" s="1"/>
  <c r="C25" i="22"/>
  <c r="C26" i="22" s="1"/>
  <c r="R14" i="22"/>
  <c r="R15" i="22" s="1"/>
  <c r="K4" i="22"/>
  <c r="K5" i="22" s="1"/>
  <c r="F9" i="22"/>
  <c r="F10" i="22" s="1"/>
  <c r="W37" i="22"/>
  <c r="W38" i="22" s="1"/>
  <c r="R9" i="22"/>
  <c r="R10" i="22" s="1"/>
  <c r="N24" i="22"/>
  <c r="J34" i="21" s="1"/>
  <c r="J38" i="21" s="1"/>
  <c r="J37" i="21" s="1"/>
  <c r="N26" i="22" s="1"/>
  <c r="R37" i="22"/>
  <c r="R38" i="22" s="1"/>
  <c r="B36" i="22"/>
  <c r="B37" i="22" s="1"/>
  <c r="B9" i="22"/>
  <c r="B10" i="22" s="1"/>
  <c r="B30" i="22"/>
  <c r="B31" i="22" s="1"/>
  <c r="C8" i="22"/>
  <c r="C24" i="22"/>
  <c r="S30" i="22"/>
  <c r="C29" i="22"/>
  <c r="V8" i="22"/>
  <c r="F29" i="22"/>
  <c r="C3" i="22"/>
  <c r="O30" i="22"/>
  <c r="N30" i="22"/>
  <c r="B18" i="22"/>
  <c r="C46" i="22"/>
  <c r="V30" i="22"/>
  <c r="G8" i="22"/>
  <c r="W30" i="22"/>
  <c r="B8" i="22"/>
  <c r="K18" i="22"/>
  <c r="W13" i="22"/>
  <c r="R13" i="22"/>
  <c r="W8" i="22"/>
  <c r="S8" i="22"/>
  <c r="O18" i="22"/>
  <c r="O42" i="22"/>
  <c r="K8" i="22"/>
  <c r="J8" i="22"/>
  <c r="O23" i="22"/>
  <c r="V13" i="22"/>
  <c r="K29" i="22"/>
  <c r="S13" i="22"/>
  <c r="B13" i="22"/>
  <c r="N23" i="22"/>
  <c r="J35" i="22"/>
  <c r="G3" i="22"/>
  <c r="F3" i="22" s="1"/>
  <c r="B46" i="22"/>
  <c r="N36" i="22"/>
  <c r="J18" i="22"/>
  <c r="K35" i="22"/>
  <c r="J12" i="25"/>
  <c r="C30" i="22"/>
  <c r="C31" i="22" s="1"/>
  <c r="W9" i="22"/>
  <c r="W10" i="22" s="1"/>
  <c r="J9" i="22"/>
  <c r="J10" i="22" s="1"/>
  <c r="G9" i="22"/>
  <c r="G10" i="22" s="1"/>
  <c r="O9" i="22"/>
  <c r="O10" i="22" s="1"/>
  <c r="R31" i="22"/>
  <c r="R32" i="22" s="1"/>
  <c r="F19" i="22"/>
  <c r="F20" i="22" s="1"/>
  <c r="F4" i="22"/>
  <c r="F5" i="22" s="1"/>
  <c r="N43" i="22"/>
  <c r="N44" i="22" s="1"/>
  <c r="C47" i="22"/>
  <c r="C48" i="22" s="1"/>
  <c r="W14" i="22"/>
  <c r="W15" i="22" s="1"/>
  <c r="V9" i="22"/>
  <c r="V10" i="22" s="1"/>
  <c r="O43" i="22"/>
  <c r="O44" i="22" s="1"/>
  <c r="G41" i="22"/>
  <c r="G42" i="22" s="1"/>
  <c r="V14" i="22"/>
  <c r="V15" i="22" s="1"/>
  <c r="O14" i="22"/>
  <c r="O15" i="22" s="1"/>
  <c r="N14" i="22"/>
  <c r="N15" i="22" s="1"/>
  <c r="C14" i="22"/>
  <c r="C15" i="22" s="1"/>
  <c r="S37" i="22"/>
  <c r="S38" i="22" s="1"/>
  <c r="C41" i="22"/>
  <c r="C42" i="22" s="1"/>
  <c r="W31" i="22"/>
  <c r="W32" i="22" s="1"/>
  <c r="O4" i="22"/>
  <c r="O5" i="22" s="1"/>
  <c r="V31" i="22"/>
  <c r="V32" i="22" s="1"/>
  <c r="K19" i="22"/>
  <c r="K20" i="22" s="1"/>
  <c r="N9" i="22"/>
  <c r="N10" i="22" s="1"/>
  <c r="N31" i="22"/>
  <c r="N32" i="22" s="1"/>
  <c r="J4" i="22"/>
  <c r="J5" i="22" s="1"/>
  <c r="B41" i="22"/>
  <c r="B42" i="22" s="1"/>
  <c r="S14" i="22"/>
  <c r="S15" i="22" s="1"/>
  <c r="F18" i="22"/>
  <c r="J3" i="22"/>
  <c r="C13" i="22"/>
  <c r="S36" i="22"/>
  <c r="J29" i="22"/>
  <c r="C35" i="22"/>
  <c r="G40" i="22"/>
  <c r="O13" i="22"/>
  <c r="B29" i="22"/>
  <c r="B40" i="22"/>
  <c r="C18" i="22"/>
  <c r="K3" i="22"/>
  <c r="S18" i="22"/>
  <c r="F40" i="22"/>
  <c r="B3" i="22"/>
  <c r="N8" i="22"/>
  <c r="G29" i="22"/>
  <c r="G18" i="22"/>
  <c r="B35" i="22"/>
  <c r="F35" i="22"/>
  <c r="R36" i="22"/>
  <c r="B24" i="22"/>
  <c r="C40" i="22"/>
  <c r="N18" i="22"/>
  <c r="O36" i="22"/>
  <c r="R30" i="22"/>
  <c r="R18" i="22"/>
  <c r="O3" i="22"/>
  <c r="G35" i="22"/>
  <c r="W36" i="22"/>
  <c r="O8" i="22"/>
  <c r="N3" i="22"/>
  <c r="V36" i="22"/>
  <c r="F8" i="22"/>
  <c r="N42" i="22"/>
  <c r="N13" i="22"/>
  <c r="R8" i="22"/>
  <c r="C136" i="26"/>
  <c r="C148" i="26" s="1"/>
  <c r="C149" i="26" s="1"/>
  <c r="G40" i="1" s="1"/>
  <c r="M41" i="2"/>
  <c r="A147" i="26"/>
  <c r="P19" i="1"/>
  <c r="P21" i="1"/>
  <c r="M94" i="2"/>
  <c r="M111" i="2"/>
  <c r="M113" i="2"/>
  <c r="M112" i="2"/>
  <c r="B13" i="1"/>
  <c r="B12" i="1"/>
  <c r="C136" i="2"/>
  <c r="C135" i="2"/>
  <c r="M63" i="2"/>
  <c r="M8" i="2"/>
  <c r="G148" i="2"/>
  <c r="M152" i="2"/>
  <c r="M134" i="2"/>
  <c r="J131" i="2"/>
  <c r="B31" i="2"/>
  <c r="B30" i="2" s="1"/>
  <c r="A153" i="26" l="1"/>
  <c r="A154" i="26" s="1"/>
  <c r="B25" i="1"/>
  <c r="C153" i="26"/>
  <c r="C154" i="26" s="1"/>
  <c r="C155" i="26" s="1"/>
  <c r="C156" i="26" s="1"/>
  <c r="G41" i="1" s="1"/>
  <c r="G42" i="1" s="1"/>
  <c r="R134" i="26"/>
  <c r="R154" i="26" s="1"/>
  <c r="R131" i="26"/>
  <c r="R133" i="26" s="1"/>
  <c r="R144" i="26" s="1"/>
  <c r="M93" i="2"/>
  <c r="M166" i="2"/>
  <c r="A149" i="26"/>
  <c r="F40" i="1" s="1"/>
  <c r="V132" i="26"/>
  <c r="V134" i="26"/>
  <c r="V154" i="26" s="1"/>
  <c r="V131" i="26"/>
  <c r="V133" i="26" s="1"/>
  <c r="V145" i="26" s="1"/>
  <c r="K35" i="2"/>
  <c r="M237" i="2"/>
  <c r="M242" i="2" s="1"/>
  <c r="M239" i="2"/>
  <c r="G47" i="2"/>
  <c r="J43" i="2" s="1"/>
  <c r="J45" i="2" s="1"/>
  <c r="M203" i="2"/>
  <c r="G209" i="2" s="1"/>
  <c r="M205" i="2" s="1"/>
  <c r="J35" i="21"/>
  <c r="J36" i="21" s="1"/>
  <c r="N25" i="22" s="1"/>
  <c r="M20" i="2"/>
  <c r="M185" i="2"/>
  <c r="J185" i="2"/>
  <c r="G184" i="2"/>
  <c r="K33" i="2"/>
  <c r="M21" i="2" s="1"/>
  <c r="E12" i="25"/>
  <c r="F12" i="25" s="1"/>
  <c r="F3" i="25" s="1"/>
  <c r="F30" i="1" s="1"/>
  <c r="M224" i="2"/>
  <c r="M257" i="2"/>
  <c r="G264" i="2" s="1"/>
  <c r="M259" i="2" s="1"/>
  <c r="M201" i="2"/>
  <c r="G202" i="2" s="1"/>
  <c r="E13" i="25"/>
  <c r="D16" i="25" s="1" a="1"/>
  <c r="D16" i="25" s="1"/>
  <c r="G220" i="2"/>
  <c r="M220" i="2"/>
  <c r="M256" i="2"/>
  <c r="G257" i="2" s="1"/>
  <c r="M221" i="2"/>
  <c r="G227" i="2" s="1"/>
  <c r="M223" i="2" s="1"/>
  <c r="M76" i="2"/>
  <c r="R145" i="26"/>
  <c r="C137" i="2"/>
  <c r="M130" i="2" s="1"/>
  <c r="G137" i="2" s="1"/>
  <c r="G101" i="2"/>
  <c r="M97" i="2" s="1"/>
  <c r="G155" i="2"/>
  <c r="M151" i="2" s="1"/>
  <c r="M12" i="25"/>
  <c r="N12" i="25" s="1"/>
  <c r="N3" i="25" s="1"/>
  <c r="G30" i="1" s="1"/>
  <c r="M77" i="2"/>
  <c r="J151" i="2"/>
  <c r="M170" i="2"/>
  <c r="J77" i="2"/>
  <c r="G76" i="2"/>
  <c r="G119" i="2"/>
  <c r="M114" i="2" s="1"/>
  <c r="G245" i="2"/>
  <c r="M240" i="2" s="1"/>
  <c r="M167" i="2"/>
  <c r="G173" i="2" s="1"/>
  <c r="J169" i="2" s="1"/>
  <c r="J174" i="2" s="1"/>
  <c r="F178" i="2" s="1"/>
  <c r="M184" i="2"/>
  <c r="J167" i="2"/>
  <c r="M19" i="2"/>
  <c r="A155" i="26"/>
  <c r="A156" i="26" s="1"/>
  <c r="F41" i="1" s="1"/>
  <c r="F42" i="1" s="1"/>
  <c r="R135" i="26"/>
  <c r="M22" i="2"/>
  <c r="K38" i="21"/>
  <c r="K37" i="21" s="1"/>
  <c r="O26" i="22" s="1"/>
  <c r="K35" i="21"/>
  <c r="K36" i="21" s="1"/>
  <c r="O25" i="22" s="1"/>
  <c r="J133" i="2"/>
  <c r="J134" i="2"/>
  <c r="M3" i="2"/>
  <c r="M4" i="2"/>
  <c r="M2" i="2"/>
  <c r="N16" i="25" a="1"/>
  <c r="N16" i="25" s="1"/>
  <c r="M16" i="25" a="1"/>
  <c r="M16" i="25" s="1"/>
  <c r="M57" i="2"/>
  <c r="M58" i="2"/>
  <c r="M59" i="2"/>
  <c r="N19" i="1"/>
  <c r="B15" i="1"/>
  <c r="N21" i="1"/>
  <c r="J239" i="2"/>
  <c r="M116" i="2"/>
  <c r="G112" i="2"/>
  <c r="J113" i="2"/>
  <c r="J203" i="2"/>
  <c r="G191" i="2" l="1"/>
  <c r="J187" i="2" s="1"/>
  <c r="J192" i="2" s="1"/>
  <c r="F196" i="2" s="1"/>
  <c r="G238" i="2"/>
  <c r="J95" i="2"/>
  <c r="M98" i="2"/>
  <c r="G94" i="2"/>
  <c r="V144" i="26"/>
  <c r="V146" i="26" s="1"/>
  <c r="K48" i="2"/>
  <c r="E6" i="12" s="1"/>
  <c r="E5" i="12" s="1"/>
  <c r="J53" i="2" s="1"/>
  <c r="M43" i="2" s="1"/>
  <c r="V135" i="26"/>
  <c r="V136" i="26" s="1"/>
  <c r="J44" i="2"/>
  <c r="J46" i="2" s="1"/>
  <c r="M42" i="2"/>
  <c r="J48" i="2"/>
  <c r="F52" i="2" s="1"/>
  <c r="N5" i="1" s="1"/>
  <c r="M204" i="2"/>
  <c r="G203" i="2" s="1"/>
  <c r="G28" i="2"/>
  <c r="J24" i="2" s="1"/>
  <c r="J26" i="2" s="1"/>
  <c r="G83" i="2"/>
  <c r="J80" i="2" s="1"/>
  <c r="J82" i="2" s="1"/>
  <c r="E16" i="25" a="1"/>
  <c r="E16" i="25" s="1"/>
  <c r="F13" i="25" s="1"/>
  <c r="F4" i="25" s="1"/>
  <c r="F31" i="1" s="1"/>
  <c r="M150" i="2"/>
  <c r="G149" i="2" s="1"/>
  <c r="G150" i="2" s="1"/>
  <c r="G160" i="2" s="1"/>
  <c r="R9" i="1" s="1"/>
  <c r="R11" i="1" s="1"/>
  <c r="J138" i="2"/>
  <c r="F142" i="2" s="1"/>
  <c r="J224" i="2"/>
  <c r="J226" i="2" s="1"/>
  <c r="K265" i="2"/>
  <c r="R146" i="26"/>
  <c r="J205" i="2"/>
  <c r="J207" i="2" s="1"/>
  <c r="J258" i="2"/>
  <c r="M222" i="2"/>
  <c r="G221" i="2" s="1"/>
  <c r="J206" i="2"/>
  <c r="J208" i="2" s="1"/>
  <c r="M206" i="2"/>
  <c r="J241" i="2"/>
  <c r="J243" i="2" s="1"/>
  <c r="J260" i="2"/>
  <c r="J265" i="2" s="1"/>
  <c r="F269" i="2" s="1"/>
  <c r="J97" i="2"/>
  <c r="J99" i="2" s="1"/>
  <c r="J157" i="2"/>
  <c r="F161" i="2" s="1"/>
  <c r="J223" i="2"/>
  <c r="J228" i="2" s="1"/>
  <c r="F232" i="2" s="1"/>
  <c r="J156" i="2"/>
  <c r="F160" i="2" s="1"/>
  <c r="R12" i="1" s="1"/>
  <c r="M96" i="2"/>
  <c r="J261" i="2"/>
  <c r="J266" i="2" s="1"/>
  <c r="F270" i="2" s="1"/>
  <c r="M261" i="2"/>
  <c r="M187" i="2"/>
  <c r="J98" i="2"/>
  <c r="J100" i="2" s="1"/>
  <c r="J171" i="2"/>
  <c r="J115" i="2"/>
  <c r="J117" i="2" s="1"/>
  <c r="J116" i="2"/>
  <c r="J121" i="2" s="1"/>
  <c r="F125" i="2" s="1"/>
  <c r="J242" i="2"/>
  <c r="J244" i="2" s="1"/>
  <c r="M115" i="2"/>
  <c r="G113" i="2" s="1"/>
  <c r="J139" i="2"/>
  <c r="K139" i="2" s="1"/>
  <c r="M241" i="2"/>
  <c r="M260" i="2"/>
  <c r="G258" i="2" s="1"/>
  <c r="M132" i="2"/>
  <c r="M133" i="2"/>
  <c r="G65" i="2"/>
  <c r="J62" i="2" s="1"/>
  <c r="J64" i="2" s="1"/>
  <c r="G10" i="2"/>
  <c r="K12" i="2" s="1"/>
  <c r="E9" i="12" s="1"/>
  <c r="E10" i="12" s="1"/>
  <c r="I16" i="2" s="1"/>
  <c r="M6" i="2" s="1"/>
  <c r="M168" i="2"/>
  <c r="M169" i="2"/>
  <c r="J170" i="2"/>
  <c r="R137" i="26"/>
  <c r="R136" i="26"/>
  <c r="R138" i="26" s="1"/>
  <c r="R139" i="26" s="1"/>
  <c r="N13" i="25"/>
  <c r="N4" i="25" s="1"/>
  <c r="G31" i="1" s="1"/>
  <c r="J59" i="2"/>
  <c r="G58" i="2"/>
  <c r="M62" i="2"/>
  <c r="G3" i="2"/>
  <c r="M7" i="2"/>
  <c r="L15" i="2" s="1"/>
  <c r="J4" i="2"/>
  <c r="J29" i="1"/>
  <c r="M174" i="2"/>
  <c r="O19" i="1"/>
  <c r="S20" i="1" s="1"/>
  <c r="O21" i="1"/>
  <c r="S21" i="1" s="1"/>
  <c r="J22" i="2"/>
  <c r="M25" i="2"/>
  <c r="G21" i="2"/>
  <c r="V137" i="26" l="1"/>
  <c r="V138" i="26" s="1"/>
  <c r="V139" i="26" s="1"/>
  <c r="V142" i="26" s="1"/>
  <c r="G239" i="2"/>
  <c r="G241" i="2" s="1"/>
  <c r="G251" i="2" s="1"/>
  <c r="K58" i="1" s="1"/>
  <c r="K60" i="1" s="1"/>
  <c r="M48" i="2"/>
  <c r="M49" i="2" s="1"/>
  <c r="M50" i="2" s="1"/>
  <c r="E52" i="2" s="1"/>
  <c r="N6" i="1" s="1"/>
  <c r="J188" i="2"/>
  <c r="J190" i="2" s="1"/>
  <c r="M186" i="2"/>
  <c r="G95" i="2"/>
  <c r="G97" i="2" s="1"/>
  <c r="G107" i="2" s="1"/>
  <c r="K18" i="1" s="1"/>
  <c r="K20" i="1" s="1"/>
  <c r="K138" i="2"/>
  <c r="G41" i="2"/>
  <c r="G43" i="2" s="1"/>
  <c r="G53" i="2" s="1"/>
  <c r="O2" i="1" s="1"/>
  <c r="O4" i="1" s="1"/>
  <c r="K157" i="2"/>
  <c r="K29" i="2"/>
  <c r="J2" i="12" s="1"/>
  <c r="J246" i="2"/>
  <c r="F250" i="2" s="1"/>
  <c r="J61" i="1" s="1"/>
  <c r="J49" i="2"/>
  <c r="F53" i="2" s="1"/>
  <c r="M78" i="2"/>
  <c r="J25" i="2"/>
  <c r="J30" i="2" s="1"/>
  <c r="J61" i="2"/>
  <c r="J63" i="2" s="1"/>
  <c r="J189" i="2"/>
  <c r="J211" i="2"/>
  <c r="F215" i="2" s="1"/>
  <c r="K45" i="1" s="1"/>
  <c r="J7" i="2"/>
  <c r="J9" i="2" s="1"/>
  <c r="G151" i="2"/>
  <c r="G161" i="2" s="1"/>
  <c r="S9" i="1" s="1"/>
  <c r="S11" i="1" s="1"/>
  <c r="E160" i="2"/>
  <c r="R13" i="1" s="1"/>
  <c r="J102" i="2"/>
  <c r="F106" i="2" s="1"/>
  <c r="M102" i="2" s="1"/>
  <c r="M79" i="2"/>
  <c r="J85" i="2"/>
  <c r="F89" i="2" s="1"/>
  <c r="K13" i="1" s="1"/>
  <c r="G205" i="2"/>
  <c r="G215" i="2" s="1"/>
  <c r="K42" i="1" s="1"/>
  <c r="K43" i="1" s="1"/>
  <c r="M60" i="2"/>
  <c r="R10" i="1"/>
  <c r="J79" i="2"/>
  <c r="J84" i="2" s="1"/>
  <c r="F88" i="2" s="1"/>
  <c r="G204" i="2"/>
  <c r="G214" i="2" s="1"/>
  <c r="J42" i="1" s="1"/>
  <c r="J43" i="1" s="1"/>
  <c r="J229" i="2"/>
  <c r="F233" i="2" s="1"/>
  <c r="K53" i="1" s="1"/>
  <c r="J262" i="2"/>
  <c r="G259" i="2" s="1"/>
  <c r="G269" i="2" s="1"/>
  <c r="N10" i="1" s="1"/>
  <c r="N12" i="1" s="1"/>
  <c r="J210" i="2"/>
  <c r="F214" i="2" s="1"/>
  <c r="M210" i="2" s="1"/>
  <c r="G131" i="2"/>
  <c r="G132" i="2" s="1"/>
  <c r="G142" i="2" s="1"/>
  <c r="R2" i="1" s="1"/>
  <c r="J263" i="2"/>
  <c r="G260" i="2" s="1"/>
  <c r="G270" i="2" s="1"/>
  <c r="O10" i="1" s="1"/>
  <c r="O12" i="1" s="1"/>
  <c r="K156" i="2"/>
  <c r="G223" i="2"/>
  <c r="G233" i="2" s="1"/>
  <c r="K50" i="1" s="1"/>
  <c r="K52" i="1" s="1"/>
  <c r="E8" i="12"/>
  <c r="I15" i="2" s="1"/>
  <c r="M5" i="2" s="1"/>
  <c r="G4" i="2" s="1"/>
  <c r="J247" i="2"/>
  <c r="F251" i="2" s="1"/>
  <c r="N246" i="2" s="1"/>
  <c r="J225" i="2"/>
  <c r="G222" i="2" s="1"/>
  <c r="G232" i="2" s="1"/>
  <c r="J50" i="1" s="1"/>
  <c r="J51" i="1" s="1"/>
  <c r="J6" i="2"/>
  <c r="J8" i="2" s="1"/>
  <c r="J120" i="2"/>
  <c r="F124" i="2" s="1"/>
  <c r="F19" i="1" s="1"/>
  <c r="G185" i="2"/>
  <c r="F143" i="2"/>
  <c r="S5" i="1" s="1"/>
  <c r="J118" i="2"/>
  <c r="G115" i="2" s="1"/>
  <c r="G125" i="2" s="1"/>
  <c r="G16" i="1" s="1"/>
  <c r="G17" i="1" s="1"/>
  <c r="M61" i="2"/>
  <c r="J103" i="2"/>
  <c r="F107" i="2" s="1"/>
  <c r="N102" i="2" s="1"/>
  <c r="F5" i="25"/>
  <c r="F32" i="1" s="1"/>
  <c r="G167" i="2"/>
  <c r="G168" i="2" s="1"/>
  <c r="G178" i="2" s="1"/>
  <c r="J26" i="1" s="1"/>
  <c r="J28" i="1" s="1"/>
  <c r="G114" i="2"/>
  <c r="G124" i="2" s="1"/>
  <c r="F16" i="1" s="1"/>
  <c r="F17" i="1" s="1"/>
  <c r="J175" i="2"/>
  <c r="F179" i="2" s="1"/>
  <c r="J172" i="2"/>
  <c r="R141" i="26"/>
  <c r="R140" i="26"/>
  <c r="R142" i="26"/>
  <c r="N5" i="25"/>
  <c r="G32" i="1" s="1"/>
  <c r="J53" i="1"/>
  <c r="M228" i="2"/>
  <c r="J37" i="1"/>
  <c r="M192" i="2"/>
  <c r="J67" i="2"/>
  <c r="F71" i="2" s="1"/>
  <c r="E71" i="2" s="1"/>
  <c r="G13" i="1" s="1"/>
  <c r="E161" i="2"/>
  <c r="S13" i="1" s="1"/>
  <c r="S12" i="1"/>
  <c r="N13" i="1"/>
  <c r="M265" i="2"/>
  <c r="N26" i="1"/>
  <c r="N32" i="1"/>
  <c r="E142" i="2"/>
  <c r="R6" i="1" s="1"/>
  <c r="R5" i="1"/>
  <c r="E125" i="2"/>
  <c r="G20" i="1" s="1"/>
  <c r="G19" i="1"/>
  <c r="J29" i="2"/>
  <c r="M175" i="2"/>
  <c r="M176" i="2" s="1"/>
  <c r="E178" i="2" s="1"/>
  <c r="J30" i="1" s="1"/>
  <c r="N179" i="2"/>
  <c r="N178" i="2" s="1"/>
  <c r="H178" i="2" s="1"/>
  <c r="J31" i="1" s="1"/>
  <c r="N265" i="2"/>
  <c r="O13" i="1"/>
  <c r="S19" i="1"/>
  <c r="V141" i="26" l="1"/>
  <c r="J193" i="2"/>
  <c r="F197" i="2" s="1"/>
  <c r="N192" i="2" s="1"/>
  <c r="N53" i="2"/>
  <c r="N52" i="2" s="1"/>
  <c r="H52" i="2" s="1"/>
  <c r="N7" i="1" s="1"/>
  <c r="V140" i="26"/>
  <c r="G240" i="2"/>
  <c r="G250" i="2" s="1"/>
  <c r="J58" i="1" s="1"/>
  <c r="J59" i="1" s="1"/>
  <c r="G96" i="2"/>
  <c r="G106" i="2" s="1"/>
  <c r="J18" i="1" s="1"/>
  <c r="J19" i="1" s="1"/>
  <c r="G186" i="2"/>
  <c r="G196" i="2" s="1"/>
  <c r="J34" i="1" s="1"/>
  <c r="J36" i="1" s="1"/>
  <c r="G42" i="2"/>
  <c r="G52" i="2" s="1"/>
  <c r="N2" i="1" s="1"/>
  <c r="N4" i="1" s="1"/>
  <c r="J3" i="12"/>
  <c r="J1" i="12"/>
  <c r="J33" i="2" s="1"/>
  <c r="M23" i="2" s="1"/>
  <c r="J12" i="2"/>
  <c r="F16" i="2" s="1"/>
  <c r="E16" i="2" s="1"/>
  <c r="G6" i="1" s="1"/>
  <c r="M246" i="2"/>
  <c r="N251" i="2" s="1"/>
  <c r="N250" i="2" s="1"/>
  <c r="H250" i="2" s="1"/>
  <c r="J63" i="1" s="1"/>
  <c r="O3" i="1"/>
  <c r="J27" i="2"/>
  <c r="G77" i="2"/>
  <c r="G79" i="2" s="1"/>
  <c r="G89" i="2" s="1"/>
  <c r="K10" i="1" s="1"/>
  <c r="K11" i="1" s="1"/>
  <c r="J66" i="2"/>
  <c r="F70" i="2" s="1"/>
  <c r="E70" i="2" s="1"/>
  <c r="F13" i="1" s="1"/>
  <c r="G59" i="2"/>
  <c r="G61" i="2" s="1"/>
  <c r="G71" i="2" s="1"/>
  <c r="G9" i="1" s="1"/>
  <c r="G11" i="1" s="1"/>
  <c r="O5" i="1"/>
  <c r="N48" i="2"/>
  <c r="N210" i="2"/>
  <c r="O215" i="2" s="1"/>
  <c r="O214" i="2" s="1"/>
  <c r="H215" i="2" s="1"/>
  <c r="K47" i="1" s="1"/>
  <c r="J21" i="1"/>
  <c r="N228" i="2"/>
  <c r="O233" i="2" s="1"/>
  <c r="O232" i="2" s="1"/>
  <c r="H233" i="2" s="1"/>
  <c r="K55" i="1" s="1"/>
  <c r="S10" i="1"/>
  <c r="J81" i="2"/>
  <c r="N84" i="2"/>
  <c r="J44" i="1"/>
  <c r="K44" i="1"/>
  <c r="K61" i="1"/>
  <c r="G133" i="2"/>
  <c r="G143" i="2" s="1"/>
  <c r="S2" i="1" s="1"/>
  <c r="S3" i="1" s="1"/>
  <c r="K19" i="1"/>
  <c r="J45" i="1"/>
  <c r="J27" i="1"/>
  <c r="J11" i="2"/>
  <c r="F15" i="2" s="1"/>
  <c r="E15" i="2" s="1"/>
  <c r="F6" i="1" s="1"/>
  <c r="G187" i="2"/>
  <c r="G197" i="2" s="1"/>
  <c r="K34" i="1" s="1"/>
  <c r="K36" i="1" s="1"/>
  <c r="J52" i="1"/>
  <c r="E143" i="2"/>
  <c r="S6" i="1" s="1"/>
  <c r="K51" i="1"/>
  <c r="E124" i="2"/>
  <c r="F20" i="1" s="1"/>
  <c r="N11" i="1"/>
  <c r="G12" i="1"/>
  <c r="K59" i="1"/>
  <c r="O11" i="1"/>
  <c r="J35" i="1"/>
  <c r="G5" i="2"/>
  <c r="G15" i="2" s="1"/>
  <c r="F2" i="1" s="1"/>
  <c r="F3" i="1" s="1"/>
  <c r="F18" i="1"/>
  <c r="G6" i="2"/>
  <c r="G16" i="2" s="1"/>
  <c r="G2" i="1" s="1"/>
  <c r="G3" i="1" s="1"/>
  <c r="K21" i="1"/>
  <c r="K37" i="1"/>
  <c r="M84" i="2"/>
  <c r="J13" i="1"/>
  <c r="G169" i="2"/>
  <c r="G179" i="2" s="1"/>
  <c r="K26" i="1" s="1"/>
  <c r="K27" i="1" s="1"/>
  <c r="R3" i="1"/>
  <c r="R4" i="1"/>
  <c r="G18" i="1"/>
  <c r="K29" i="1"/>
  <c r="N174" i="2"/>
  <c r="G31" i="2"/>
  <c r="F31" i="2"/>
  <c r="G30" i="2"/>
  <c r="F30" i="2"/>
  <c r="R143" i="26"/>
  <c r="M193" i="2"/>
  <c r="M194" i="2" s="1"/>
  <c r="E196" i="2" s="1"/>
  <c r="J38" i="1" s="1"/>
  <c r="N197" i="2"/>
  <c r="N196" i="2" s="1"/>
  <c r="H196" i="2" s="1"/>
  <c r="J39" i="1" s="1"/>
  <c r="M229" i="2"/>
  <c r="M230" i="2" s="1"/>
  <c r="E232" i="2" s="1"/>
  <c r="J54" i="1" s="1"/>
  <c r="N233" i="2"/>
  <c r="N232" i="2" s="1"/>
  <c r="H232" i="2" s="1"/>
  <c r="J55" i="1" s="1"/>
  <c r="N215" i="2"/>
  <c r="M211" i="2"/>
  <c r="M212" i="2" s="1"/>
  <c r="E214" i="2" s="1"/>
  <c r="J46" i="1" s="1"/>
  <c r="N214" i="2"/>
  <c r="H214" i="2" s="1"/>
  <c r="J47" i="1" s="1"/>
  <c r="N266" i="2"/>
  <c r="N267" i="2" s="1"/>
  <c r="E270" i="2" s="1"/>
  <c r="O14" i="1" s="1"/>
  <c r="O270" i="2"/>
  <c r="O269" i="2" s="1"/>
  <c r="H270" i="2" s="1"/>
  <c r="O15" i="1" s="1"/>
  <c r="M103" i="2"/>
  <c r="M104" i="2" s="1"/>
  <c r="E106" i="2" s="1"/>
  <c r="J22" i="1" s="1"/>
  <c r="N107" i="2"/>
  <c r="N106" i="2" s="1"/>
  <c r="H106" i="2" s="1"/>
  <c r="J23" i="1" s="1"/>
  <c r="S30" i="1"/>
  <c r="Q30" i="1"/>
  <c r="O30" i="1"/>
  <c r="O107" i="2"/>
  <c r="N103" i="2"/>
  <c r="N104" i="2" s="1"/>
  <c r="E107" i="2" s="1"/>
  <c r="K22" i="1" s="1"/>
  <c r="O106" i="2"/>
  <c r="H107" i="2" s="1"/>
  <c r="K23" i="1" s="1"/>
  <c r="M266" i="2"/>
  <c r="M267" i="2" s="1"/>
  <c r="E269" i="2" s="1"/>
  <c r="N14" i="1" s="1"/>
  <c r="N270" i="2"/>
  <c r="N269" i="2" s="1"/>
  <c r="H269" i="2" s="1"/>
  <c r="N15" i="1" s="1"/>
  <c r="J11" i="34"/>
  <c r="J10" i="34"/>
  <c r="N247" i="2"/>
  <c r="N248" i="2" s="1"/>
  <c r="E251" i="2" s="1"/>
  <c r="K62" i="1" s="1"/>
  <c r="O251" i="2"/>
  <c r="O250" i="2" s="1"/>
  <c r="H251" i="2" s="1"/>
  <c r="K63" i="1" s="1"/>
  <c r="O25" i="1"/>
  <c r="Q25" i="1"/>
  <c r="S25" i="1"/>
  <c r="J34" i="2" l="1"/>
  <c r="M24" i="2" s="1"/>
  <c r="G22" i="2" s="1"/>
  <c r="V143" i="26"/>
  <c r="V147" i="26" s="1"/>
  <c r="V148" i="26" s="1"/>
  <c r="V150" i="26" s="1"/>
  <c r="S4" i="1"/>
  <c r="J60" i="1"/>
  <c r="G10" i="1"/>
  <c r="J20" i="1"/>
  <c r="M247" i="2"/>
  <c r="M248" i="2" s="1"/>
  <c r="E250" i="2" s="1"/>
  <c r="J62" i="1" s="1"/>
  <c r="N229" i="2"/>
  <c r="N230" i="2" s="1"/>
  <c r="E233" i="2" s="1"/>
  <c r="K54" i="1" s="1"/>
  <c r="N3" i="1"/>
  <c r="G5" i="1"/>
  <c r="G26" i="1" s="1"/>
  <c r="G27" i="1" s="1"/>
  <c r="N211" i="2"/>
  <c r="N212" i="2" s="1"/>
  <c r="E215" i="2" s="1"/>
  <c r="K46" i="1" s="1"/>
  <c r="F12" i="1"/>
  <c r="K35" i="1"/>
  <c r="K12" i="1"/>
  <c r="O53" i="2"/>
  <c r="O52" i="2" s="1"/>
  <c r="H53" i="2" s="1"/>
  <c r="O7" i="1" s="1"/>
  <c r="N49" i="2"/>
  <c r="N50" i="2" s="1"/>
  <c r="E53" i="2" s="1"/>
  <c r="O6" i="1" s="1"/>
  <c r="G60" i="2"/>
  <c r="G70" i="2" s="1"/>
  <c r="F9" i="1" s="1"/>
  <c r="F10" i="1" s="1"/>
  <c r="G78" i="2"/>
  <c r="G88" i="2" s="1"/>
  <c r="J10" i="1" s="1"/>
  <c r="N85" i="2"/>
  <c r="N86" i="2" s="1"/>
  <c r="E89" i="2" s="1"/>
  <c r="K14" i="1" s="1"/>
  <c r="O89" i="2"/>
  <c r="O88" i="2" s="1"/>
  <c r="H89" i="2" s="1"/>
  <c r="K15" i="1" s="1"/>
  <c r="F5" i="1"/>
  <c r="F26" i="1" s="1"/>
  <c r="F27" i="1" s="1"/>
  <c r="F23" i="1"/>
  <c r="F25" i="1" s="1"/>
  <c r="G4" i="1"/>
  <c r="G23" i="1"/>
  <c r="G25" i="1" s="1"/>
  <c r="F33" i="2"/>
  <c r="J5" i="1" s="1"/>
  <c r="F34" i="2"/>
  <c r="K5" i="1" s="1"/>
  <c r="F4" i="1"/>
  <c r="K28" i="1"/>
  <c r="N193" i="2"/>
  <c r="N194" i="2" s="1"/>
  <c r="E197" i="2" s="1"/>
  <c r="K38" i="1" s="1"/>
  <c r="O197" i="2"/>
  <c r="O196" i="2" s="1"/>
  <c r="H197" i="2" s="1"/>
  <c r="K39" i="1" s="1"/>
  <c r="M85" i="2"/>
  <c r="M86" i="2" s="1"/>
  <c r="E88" i="2" s="1"/>
  <c r="J14" i="1" s="1"/>
  <c r="N89" i="2"/>
  <c r="N88" i="2" s="1"/>
  <c r="H88" i="2" s="1"/>
  <c r="J15" i="1" s="1"/>
  <c r="N175" i="2"/>
  <c r="N176" i="2" s="1"/>
  <c r="E179" i="2" s="1"/>
  <c r="K30" i="1" s="1"/>
  <c r="O179" i="2"/>
  <c r="O178" i="2" s="1"/>
  <c r="H179" i="2" s="1"/>
  <c r="K31" i="1" s="1"/>
  <c r="R147" i="26"/>
  <c r="R148" i="26" s="1"/>
  <c r="R150" i="26" s="1"/>
  <c r="R152" i="26"/>
  <c r="F36" i="1"/>
  <c r="F37" i="1" s="1"/>
  <c r="R151" i="26"/>
  <c r="M29" i="2"/>
  <c r="P20" i="34"/>
  <c r="N20" i="34"/>
  <c r="O21" i="34"/>
  <c r="O20" i="34"/>
  <c r="N21" i="34"/>
  <c r="F11" i="1" l="1"/>
  <c r="G36" i="1"/>
  <c r="G37" i="1" s="1"/>
  <c r="V151" i="26"/>
  <c r="V152" i="26"/>
  <c r="G23" i="2"/>
  <c r="G33" i="2" s="1"/>
  <c r="J2" i="1" s="1"/>
  <c r="J3" i="1" s="1"/>
  <c r="G24" i="2"/>
  <c r="G34" i="2" s="1"/>
  <c r="K2" i="1" s="1"/>
  <c r="J11" i="1"/>
  <c r="J12" i="1"/>
  <c r="F24" i="1"/>
  <c r="N29" i="2"/>
  <c r="N30" i="2" s="1"/>
  <c r="N31" i="2" s="1"/>
  <c r="E34" i="2" s="1"/>
  <c r="K6" i="1" s="1"/>
  <c r="G24" i="1"/>
  <c r="R153" i="26"/>
  <c r="R155" i="26" s="1"/>
  <c r="F35" i="1" s="1"/>
  <c r="K24" i="34"/>
  <c r="M30" i="2"/>
  <c r="M31" i="2" s="1"/>
  <c r="N34" i="2"/>
  <c r="N33" i="2" s="1"/>
  <c r="H33" i="2" s="1"/>
  <c r="J7" i="1" s="1"/>
  <c r="V153" i="26" l="1"/>
  <c r="V155" i="26" s="1"/>
  <c r="G35" i="1" s="1"/>
  <c r="O34" i="2"/>
  <c r="O33" i="2" s="1"/>
  <c r="H34" i="2" s="1"/>
  <c r="K7" i="1" s="1"/>
  <c r="K3" i="1"/>
  <c r="K4" i="1"/>
  <c r="J4" i="1"/>
  <c r="E33" i="2"/>
  <c r="J6" i="1" s="1"/>
</calcChain>
</file>

<file path=xl/comments1.xml><?xml version="1.0" encoding="utf-8"?>
<comments xmlns="http://schemas.openxmlformats.org/spreadsheetml/2006/main">
  <authors>
    <author>SaMuK</author>
  </authors>
  <commentList>
    <comment ref="M2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2" authorId="0" shapeId="0">
      <text>
        <r>
          <rPr>
            <b/>
            <sz val="9"/>
            <color indexed="81"/>
            <rFont val="Tahoma"/>
            <family val="2"/>
          </rPr>
          <t>2w Spike 7 Spin</t>
        </r>
      </text>
    </comment>
    <comment ref="M7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 xml:space="preserve">1w Spike 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7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R7" authorId="0" shapeId="0">
      <text/>
    </comment>
    <comment ref="S7" authorId="0" shapeId="0">
      <text/>
    </comment>
    <comment ref="U7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V7" authorId="0" shapeId="0">
      <text/>
    </comment>
    <comment ref="Q8" authorId="0" shapeId="0">
      <text>
        <r>
          <rPr>
            <b/>
            <sz val="9"/>
            <color indexed="81"/>
            <rFont val="Tahoma"/>
            <family val="2"/>
          </rPr>
          <t xml:space="preserve">1w Spike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8" authorId="0" shapeId="0">
      <text>
        <r>
          <rPr>
            <b/>
            <sz val="9"/>
            <color indexed="81"/>
            <rFont val="Tahoma"/>
            <family val="2"/>
          </rPr>
          <t xml:space="preserve">2w Spike 6~7 
Spin Front
</t>
        </r>
      </text>
    </comment>
    <comment ref="A12" authorId="0" shapeId="0">
      <text/>
    </comment>
    <comment ref="B12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M12" authorId="0" shapeId="0">
      <text>
        <r>
          <rPr>
            <b/>
            <sz val="9"/>
            <color indexed="81"/>
            <rFont val="Tahoma"/>
            <family val="2"/>
          </rPr>
          <t>1w TomaHawk 30 Spin</t>
        </r>
      </text>
    </comment>
    <comment ref="Q12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R12" authorId="0" shapeId="0">
      <text/>
    </comment>
    <comment ref="S12" authorId="0" shapeId="0">
      <text/>
    </comment>
    <comment ref="U12" authorId="0" shapeId="0">
      <text/>
    </comment>
    <comment ref="V12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W12" authorId="0" shapeId="0">
      <text>
        <r>
          <rPr>
            <b/>
            <sz val="9"/>
            <color indexed="81"/>
            <rFont val="Tahoma"/>
            <family val="2"/>
          </rPr>
          <t>2w Bs 9 Spin</t>
        </r>
      </text>
    </comment>
    <comment ref="Q13" authorId="0" shapeId="0">
      <text>
        <r>
          <rPr>
            <b/>
            <sz val="9"/>
            <color indexed="81"/>
            <rFont val="Tahoma"/>
            <family val="2"/>
          </rPr>
          <t>Cobra 3w</t>
        </r>
      </text>
    </comment>
    <comment ref="A17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17" authorId="0" shapeId="0">
      <text/>
    </comment>
    <comment ref="I17" authorId="0" shapeId="0">
      <text/>
    </comment>
    <comment ref="M17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17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O17" authorId="0" shapeId="0">
      <text>
        <r>
          <rPr>
            <b/>
            <sz val="9"/>
            <color indexed="81"/>
            <rFont val="Tahoma"/>
            <family val="2"/>
          </rPr>
          <t>Spike 3w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7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R17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S17" authorId="0" shapeId="0">
      <text>
        <r>
          <rPr>
            <b/>
            <sz val="9"/>
            <color indexed="81"/>
            <rFont val="Tahoma"/>
            <family val="2"/>
          </rPr>
          <t>Spike 3w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22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22" authorId="0" shapeId="0">
      <text>
        <r>
          <rPr>
            <b/>
            <sz val="9"/>
            <color indexed="81"/>
            <rFont val="Tahoma"/>
            <family val="2"/>
          </rPr>
          <t>1w BS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0" shapeId="0">
      <text>
        <r>
          <rPr>
            <b/>
            <sz val="9"/>
            <color indexed="81"/>
            <rFont val="Tahoma"/>
            <family val="2"/>
          </rPr>
          <t>1w TomaHawk 30 Spin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4" authorId="0" shapeId="0">
      <text>
        <r>
          <rPr>
            <b/>
            <sz val="9"/>
            <color indexed="81"/>
            <rFont val="Tahoma"/>
            <family val="2"/>
          </rPr>
          <t>1w TomaHawk 30 Spin</t>
        </r>
      </text>
    </comment>
    <comment ref="I34" authorId="0" shapeId="0">
      <text>
        <r>
          <rPr>
            <b/>
            <sz val="9"/>
            <color indexed="81"/>
            <rFont val="Tahoma"/>
            <family val="2"/>
          </rPr>
          <t>2 PS Spike 30 Spin</t>
        </r>
      </text>
    </comment>
    <comment ref="A39" authorId="0" shapeId="0">
      <text>
        <r>
          <rPr>
            <b/>
            <sz val="9"/>
            <color indexed="81"/>
            <rFont val="Tahoma"/>
            <family val="2"/>
          </rPr>
          <t>1w Spike 30 Spin</t>
        </r>
      </text>
    </comment>
    <comment ref="E39" authorId="0" shapeId="0">
      <text>
        <r>
          <rPr>
            <b/>
            <sz val="9"/>
            <color indexed="81"/>
            <rFont val="Tahoma"/>
            <family val="2"/>
          </rPr>
          <t>2 Ps Spike 30 Spin</t>
        </r>
      </text>
    </comment>
  </commentList>
</comments>
</file>

<file path=xl/comments2.xml><?xml version="1.0" encoding="utf-8"?>
<comments xmlns="http://schemas.openxmlformats.org/spreadsheetml/2006/main">
  <authors>
    <author>SaMuK</author>
  </authors>
  <commentList>
    <comment ref="H13" authorId="0" shapeId="0">
      <text>
        <r>
          <rPr>
            <b/>
            <sz val="9"/>
            <color indexed="81"/>
            <rFont val="Tahoma"/>
            <family val="2"/>
          </rPr>
          <t>INF 1 = 8
INF 2 = 60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INF 1 = 10
INF 2 = 86</t>
        </r>
      </text>
    </comment>
  </commentList>
</comments>
</file>

<file path=xl/sharedStrings.xml><?xml version="1.0" encoding="utf-8"?>
<sst xmlns="http://schemas.openxmlformats.org/spreadsheetml/2006/main" count="3729" uniqueCount="1373">
  <si>
    <t>Altura</t>
  </si>
  <si>
    <t>Vento</t>
  </si>
  <si>
    <t>Ângulo</t>
  </si>
  <si>
    <t>Força %</t>
  </si>
  <si>
    <t>Spin</t>
  </si>
  <si>
    <t>Cosseno</t>
  </si>
  <si>
    <t>Seno</t>
  </si>
  <si>
    <t>Altura Real</t>
  </si>
  <si>
    <t>Força</t>
  </si>
  <si>
    <t>Normal</t>
  </si>
  <si>
    <t>Terreno Toma</t>
  </si>
  <si>
    <t>% Terreno =</t>
  </si>
  <si>
    <t>Terreno Dunk</t>
  </si>
  <si>
    <t>Desvio</t>
  </si>
  <si>
    <t>HWI</t>
  </si>
  <si>
    <t>Mira</t>
  </si>
  <si>
    <t>Wind Hill</t>
  </si>
  <si>
    <t>1w Dunk</t>
  </si>
  <si>
    <t>Hwi</t>
  </si>
  <si>
    <t>hwi</t>
  </si>
  <si>
    <t>Hwi * cos * vento (I)</t>
  </si>
  <si>
    <t>H+</t>
  </si>
  <si>
    <t>(I) * inf altura</t>
  </si>
  <si>
    <t>Força do vento</t>
  </si>
  <si>
    <t>H -</t>
  </si>
  <si>
    <t>Hwi vento (+)</t>
  </si>
  <si>
    <t>Inf H+</t>
  </si>
  <si>
    <t>Hwi vento (-)</t>
  </si>
  <si>
    <t>Vento(+) + InfH</t>
  </si>
  <si>
    <t>Inf H -</t>
  </si>
  <si>
    <t>Vento(-) + InfH</t>
  </si>
  <si>
    <t>% vento (+)</t>
  </si>
  <si>
    <t>% vento (-)</t>
  </si>
  <si>
    <t xml:space="preserve">Força V(+) </t>
  </si>
  <si>
    <t>Força V(-)</t>
  </si>
  <si>
    <t>3w Dunk</t>
  </si>
  <si>
    <t>2w Dunk</t>
  </si>
  <si>
    <t>1w Toma</t>
  </si>
  <si>
    <t>1w BS</t>
  </si>
  <si>
    <t>2w Toma</t>
  </si>
  <si>
    <t>Cos</t>
  </si>
  <si>
    <t>1w Spike</t>
  </si>
  <si>
    <t>3w Toma</t>
  </si>
  <si>
    <t>VF</t>
  </si>
  <si>
    <t>VB</t>
  </si>
  <si>
    <t>TERRENO BS</t>
  </si>
  <si>
    <t>Calibrador</t>
  </si>
  <si>
    <t>SPIN</t>
  </si>
  <si>
    <t>INF</t>
  </si>
  <si>
    <t>H-</t>
  </si>
  <si>
    <t>Variação</t>
  </si>
  <si>
    <t>H</t>
  </si>
  <si>
    <t>Q.Real Ball</t>
  </si>
  <si>
    <t>Dist+Terre.</t>
  </si>
  <si>
    <t>1PS</t>
  </si>
  <si>
    <t>2PS</t>
  </si>
  <si>
    <t>30 SPIN</t>
  </si>
  <si>
    <t>1PS+30SPIN</t>
  </si>
  <si>
    <t>2PS+30SPIN</t>
  </si>
  <si>
    <t>161L</t>
  </si>
  <si>
    <t>161R</t>
  </si>
  <si>
    <t>162L</t>
  </si>
  <si>
    <t>162R</t>
  </si>
  <si>
    <t>163L</t>
  </si>
  <si>
    <t>163R</t>
  </si>
  <si>
    <t>164L</t>
  </si>
  <si>
    <t>164R</t>
  </si>
  <si>
    <t>166L</t>
  </si>
  <si>
    <t>166R</t>
  </si>
  <si>
    <t>167L</t>
  </si>
  <si>
    <t>167R</t>
  </si>
  <si>
    <t>168L</t>
  </si>
  <si>
    <t>168R</t>
  </si>
  <si>
    <t>169L</t>
  </si>
  <si>
    <t>169R</t>
  </si>
  <si>
    <t>171L</t>
  </si>
  <si>
    <t>171R</t>
  </si>
  <si>
    <t>172L</t>
  </si>
  <si>
    <t>172R</t>
  </si>
  <si>
    <t>173L</t>
  </si>
  <si>
    <t>173R</t>
  </si>
  <si>
    <t>174L</t>
  </si>
  <si>
    <t>174R</t>
  </si>
  <si>
    <t>176L</t>
  </si>
  <si>
    <t>176R</t>
  </si>
  <si>
    <t>177L</t>
  </si>
  <si>
    <t>177R</t>
  </si>
  <si>
    <t>178L</t>
  </si>
  <si>
    <t>178R</t>
  </si>
  <si>
    <t>179L</t>
  </si>
  <si>
    <t>179R</t>
  </si>
  <si>
    <t>181L</t>
  </si>
  <si>
    <t>181R</t>
  </si>
  <si>
    <t>182L</t>
  </si>
  <si>
    <t>182R</t>
  </si>
  <si>
    <t>183L</t>
  </si>
  <si>
    <t>183R</t>
  </si>
  <si>
    <t>184L</t>
  </si>
  <si>
    <t>184R</t>
  </si>
  <si>
    <t>186L</t>
  </si>
  <si>
    <t>186R</t>
  </si>
  <si>
    <t>187L</t>
  </si>
  <si>
    <t>187R</t>
  </si>
  <si>
    <t>188L</t>
  </si>
  <si>
    <t>188R</t>
  </si>
  <si>
    <t>189L</t>
  </si>
  <si>
    <t>189R</t>
  </si>
  <si>
    <t>191L</t>
  </si>
  <si>
    <t>191R</t>
  </si>
  <si>
    <t>192L</t>
  </si>
  <si>
    <t>192R</t>
  </si>
  <si>
    <t>193L</t>
  </si>
  <si>
    <t>193R</t>
  </si>
  <si>
    <t>194L</t>
  </si>
  <si>
    <t>194R</t>
  </si>
  <si>
    <t>196L</t>
  </si>
  <si>
    <t>196R</t>
  </si>
  <si>
    <t>197L</t>
  </si>
  <si>
    <t>197R</t>
  </si>
  <si>
    <t>198L</t>
  </si>
  <si>
    <t>198R</t>
  </si>
  <si>
    <t>199L</t>
  </si>
  <si>
    <t>199R</t>
  </si>
  <si>
    <t>2I (P.S)</t>
  </si>
  <si>
    <t>X</t>
  </si>
  <si>
    <t>Y</t>
  </si>
  <si>
    <t>X centro</t>
  </si>
  <si>
    <t>Y centro</t>
  </si>
  <si>
    <t>DUNK</t>
  </si>
  <si>
    <t>BS</t>
  </si>
  <si>
    <t>TOMA</t>
  </si>
  <si>
    <t>2w</t>
  </si>
  <si>
    <t>3w</t>
  </si>
  <si>
    <t>+</t>
  </si>
  <si>
    <t>-</t>
  </si>
  <si>
    <t>%</t>
  </si>
  <si>
    <t>1w</t>
  </si>
  <si>
    <t>N1W</t>
  </si>
  <si>
    <t>PS1W</t>
  </si>
  <si>
    <t>PPS1W</t>
  </si>
  <si>
    <t>N2W</t>
  </si>
  <si>
    <t>PS2W</t>
  </si>
  <si>
    <t>PS3W</t>
  </si>
  <si>
    <t>N3W</t>
  </si>
  <si>
    <t>Caliper</t>
  </si>
  <si>
    <t>DADOS</t>
  </si>
  <si>
    <t>Tomahawk Iron +10y</t>
  </si>
  <si>
    <t>Toma Iron</t>
  </si>
  <si>
    <t>2i</t>
  </si>
  <si>
    <t>3i</t>
  </si>
  <si>
    <t>4i</t>
  </si>
  <si>
    <t>5i</t>
  </si>
  <si>
    <t>6i</t>
  </si>
  <si>
    <t>7i</t>
  </si>
  <si>
    <t>8i</t>
  </si>
  <si>
    <t>9i</t>
  </si>
  <si>
    <t>2Iron</t>
  </si>
  <si>
    <t>3Iron</t>
  </si>
  <si>
    <t>4Iron</t>
  </si>
  <si>
    <t>5Iron</t>
  </si>
  <si>
    <t>6Iron</t>
  </si>
  <si>
    <t>7Iron</t>
  </si>
  <si>
    <t>8Iron</t>
  </si>
  <si>
    <t>9Iron</t>
  </si>
  <si>
    <t>Distância</t>
  </si>
  <si>
    <t>Pin Máx</t>
  </si>
  <si>
    <t>Inc. Green</t>
  </si>
  <si>
    <t>PB</t>
  </si>
  <si>
    <t>Inc. Bola</t>
  </si>
  <si>
    <t>Ângulo da Bola</t>
  </si>
  <si>
    <t>Terreno</t>
  </si>
  <si>
    <t>Quebra Decorada</t>
  </si>
  <si>
    <t>Resultado</t>
  </si>
  <si>
    <t>LOUCURA</t>
  </si>
  <si>
    <t>Quebras</t>
  </si>
  <si>
    <t>2 Iron</t>
  </si>
  <si>
    <t>3 Iron</t>
  </si>
  <si>
    <t>4 Iron</t>
  </si>
  <si>
    <t>5 Iron</t>
  </si>
  <si>
    <t>6 Iron</t>
  </si>
  <si>
    <t>7 Iron</t>
  </si>
  <si>
    <t>8 Iron</t>
  </si>
  <si>
    <t>9 Iron</t>
  </si>
  <si>
    <t>Tomahawk Iron</t>
  </si>
  <si>
    <t>Inf</t>
  </si>
  <si>
    <t>Valor Clique</t>
  </si>
  <si>
    <t>Cliques</t>
  </si>
  <si>
    <t>Mostrar C</t>
  </si>
  <si>
    <t>Sobra</t>
  </si>
  <si>
    <t>Valor da Power Bar</t>
  </si>
  <si>
    <t>PowerBar</t>
  </si>
  <si>
    <t>Mostrar G</t>
  </si>
  <si>
    <t>Beam 6i</t>
  </si>
  <si>
    <t>Lolo</t>
  </si>
  <si>
    <t>1w (N)</t>
  </si>
  <si>
    <t>1w (P.S)</t>
  </si>
  <si>
    <t>1w (DPS)</t>
  </si>
  <si>
    <t>2w (N)</t>
  </si>
  <si>
    <t>2w (P.S)</t>
  </si>
  <si>
    <t>2w (DPS)</t>
  </si>
  <si>
    <t>3w (N)</t>
  </si>
  <si>
    <t>3w (P.S)</t>
  </si>
  <si>
    <t>3w (DPS)</t>
  </si>
  <si>
    <t>BLUE LAGON</t>
  </si>
  <si>
    <t>PINK WIND</t>
  </si>
  <si>
    <t>ICE SPA</t>
  </si>
  <si>
    <t>BLUE MOON</t>
  </si>
  <si>
    <t>WEST WIZ</t>
  </si>
  <si>
    <t>WIND HILL</t>
  </si>
  <si>
    <t>B2</t>
  </si>
  <si>
    <t>B10</t>
  </si>
  <si>
    <t>B12</t>
  </si>
  <si>
    <t>B9</t>
  </si>
  <si>
    <t>B14</t>
  </si>
  <si>
    <t>B13</t>
  </si>
  <si>
    <t>B6</t>
  </si>
  <si>
    <t>B15</t>
  </si>
  <si>
    <t>B4</t>
  </si>
  <si>
    <t>B16</t>
  </si>
  <si>
    <t>B5</t>
  </si>
  <si>
    <t>B7</t>
  </si>
  <si>
    <t>B11</t>
  </si>
  <si>
    <t>B17</t>
  </si>
  <si>
    <t>BLUE WATER</t>
  </si>
  <si>
    <t>ICE CANNON</t>
  </si>
  <si>
    <t>WIZ WIZ</t>
  </si>
  <si>
    <t>SHINING SAND</t>
  </si>
  <si>
    <t>SEPIA WIND</t>
  </si>
  <si>
    <t>LOST SEAWAY</t>
  </si>
  <si>
    <t>DEEP INFERNO</t>
  </si>
  <si>
    <t>EASTERN VALEY</t>
  </si>
  <si>
    <t>B3</t>
  </si>
  <si>
    <t>B8</t>
  </si>
  <si>
    <t>DUNK 2i</t>
  </si>
  <si>
    <t xml:space="preserve">D </t>
  </si>
  <si>
    <t>F</t>
  </si>
  <si>
    <t>c</t>
  </si>
  <si>
    <t>dunk</t>
  </si>
  <si>
    <t>H real</t>
  </si>
  <si>
    <t>hwi hole</t>
  </si>
  <si>
    <t>Vy * hwi</t>
  </si>
  <si>
    <t>Vy+</t>
  </si>
  <si>
    <t>Vy-</t>
  </si>
  <si>
    <t>Vy real</t>
  </si>
  <si>
    <t>D real</t>
  </si>
  <si>
    <t>F+</t>
  </si>
  <si>
    <t>F-</t>
  </si>
  <si>
    <t>rf</t>
  </si>
  <si>
    <t>%H+</t>
  </si>
  <si>
    <t>%H-</t>
  </si>
  <si>
    <t>%H</t>
  </si>
  <si>
    <t>F tab</t>
  </si>
  <si>
    <t>dif</t>
  </si>
  <si>
    <t>dif F</t>
  </si>
  <si>
    <t>x</t>
  </si>
  <si>
    <t>hwi1</t>
  </si>
  <si>
    <t>hwi2</t>
  </si>
  <si>
    <t>hwi final</t>
  </si>
  <si>
    <t>inc</t>
  </si>
  <si>
    <t>M</t>
  </si>
  <si>
    <t>Pin</t>
  </si>
  <si>
    <t>Hole</t>
  </si>
  <si>
    <t xml:space="preserve"> </t>
  </si>
  <si>
    <t>WIZ CITY</t>
  </si>
  <si>
    <t>Antigos</t>
  </si>
  <si>
    <t>Lost Seaway</t>
  </si>
  <si>
    <t xml:space="preserve">Green </t>
  </si>
  <si>
    <t>INF - 2</t>
  </si>
  <si>
    <t>INF - 1</t>
  </si>
  <si>
    <t>INF % - 1</t>
  </si>
  <si>
    <t>INF % - 2</t>
  </si>
  <si>
    <t>Y s/INF</t>
  </si>
  <si>
    <t>Ice Spa</t>
  </si>
  <si>
    <t>S.Para Toma/Bs/Fs/Roll</t>
  </si>
  <si>
    <t>S.P.Holes De portal ou Rolando</t>
  </si>
  <si>
    <t>SenxWind</t>
  </si>
  <si>
    <t>HOLE</t>
  </si>
  <si>
    <t>INF. V.F +</t>
  </si>
  <si>
    <t>INF. V.F -</t>
  </si>
  <si>
    <t>% V. HWI +</t>
  </si>
  <si>
    <t>% V. HWI -</t>
  </si>
  <si>
    <t>Legenda</t>
  </si>
  <si>
    <t>CosxWind</t>
  </si>
  <si>
    <t>H4 - 345</t>
  </si>
  <si>
    <t>H4 - 352</t>
  </si>
  <si>
    <t>Sem</t>
  </si>
  <si>
    <t>H4 - 353</t>
  </si>
  <si>
    <t>N Chega</t>
  </si>
  <si>
    <t>H8 - 372</t>
  </si>
  <si>
    <t>Em Teste</t>
  </si>
  <si>
    <t>H8 - 379</t>
  </si>
  <si>
    <t xml:space="preserve">Erro em alguns angulos </t>
  </si>
  <si>
    <t>H8 - 381</t>
  </si>
  <si>
    <t>H13 - 385</t>
  </si>
  <si>
    <t>H16 - 349</t>
  </si>
  <si>
    <t>H16 - 352</t>
  </si>
  <si>
    <t>H16 - 354</t>
  </si>
  <si>
    <t>H9 - 268</t>
  </si>
  <si>
    <t>Pink Wind</t>
  </si>
  <si>
    <t>H1 - 338</t>
  </si>
  <si>
    <t>2 303R</t>
  </si>
  <si>
    <t>1 306</t>
  </si>
  <si>
    <t>9 286L</t>
  </si>
  <si>
    <t>5 296 -1</t>
  </si>
  <si>
    <t>H4 - 324</t>
  </si>
  <si>
    <t>H4 - 327</t>
  </si>
  <si>
    <t>H4 - 330</t>
  </si>
  <si>
    <t>West Wiz</t>
  </si>
  <si>
    <t>H11 - 320</t>
  </si>
  <si>
    <t>H11 - 324</t>
  </si>
  <si>
    <t>H11 - 345</t>
  </si>
  <si>
    <t>H18 - 332</t>
  </si>
  <si>
    <t>H18 - 341</t>
  </si>
  <si>
    <t>H1 - 360</t>
  </si>
  <si>
    <t>All</t>
  </si>
  <si>
    <t>H4 - 403</t>
  </si>
  <si>
    <t>Max = 1</t>
  </si>
  <si>
    <t>Spin H11 349</t>
  </si>
  <si>
    <t>H4 - 404</t>
  </si>
  <si>
    <t>max = vento 3</t>
  </si>
  <si>
    <t>Front</t>
  </si>
  <si>
    <t>Back</t>
  </si>
  <si>
    <t>H4 - 411</t>
  </si>
  <si>
    <t>Max = 3</t>
  </si>
  <si>
    <t>H5 - 324</t>
  </si>
  <si>
    <t>H5 - 333</t>
  </si>
  <si>
    <t>H5 - 339</t>
  </si>
  <si>
    <t>Max = 2</t>
  </si>
  <si>
    <t>H9 - 388</t>
  </si>
  <si>
    <t>H9 - 403</t>
  </si>
  <si>
    <t>Vento Back n da</t>
  </si>
  <si>
    <t>H11 - 349</t>
  </si>
  <si>
    <t>Somente 1 e n eh 100%</t>
  </si>
  <si>
    <t>Eastern Valley</t>
  </si>
  <si>
    <t>H18 - 343</t>
  </si>
  <si>
    <t>H18 - 346</t>
  </si>
  <si>
    <t>H18 - 347</t>
  </si>
  <si>
    <t>Ice Cannon</t>
  </si>
  <si>
    <t>H11 - 368</t>
  </si>
  <si>
    <t>Shining Sand</t>
  </si>
  <si>
    <t>H15 - 354</t>
  </si>
  <si>
    <t>H15 - 358</t>
  </si>
  <si>
    <t>Sepia Wind</t>
  </si>
  <si>
    <t>H14 - 354</t>
  </si>
  <si>
    <t>V.F</t>
  </si>
  <si>
    <t>V.B</t>
  </si>
  <si>
    <t>H11</t>
  </si>
  <si>
    <t>H9</t>
  </si>
  <si>
    <t>H5</t>
  </si>
  <si>
    <t>H4</t>
  </si>
  <si>
    <t>H1</t>
  </si>
  <si>
    <t>Tabela Ventos Maximos</t>
  </si>
  <si>
    <t>H16 349</t>
  </si>
  <si>
    <t>H16 352</t>
  </si>
  <si>
    <t>H16 354</t>
  </si>
  <si>
    <t>H18 343</t>
  </si>
  <si>
    <t>H18 346</t>
  </si>
  <si>
    <t>H18 347</t>
  </si>
  <si>
    <t>H18 341</t>
  </si>
  <si>
    <t>H11 324</t>
  </si>
  <si>
    <t>H11 320</t>
  </si>
  <si>
    <t>H11 345</t>
  </si>
  <si>
    <t>H18 332</t>
  </si>
  <si>
    <t>H11 349</t>
  </si>
  <si>
    <t>H14 354</t>
  </si>
  <si>
    <t>H11 368</t>
  </si>
  <si>
    <t>H15 354</t>
  </si>
  <si>
    <t>H15 358</t>
  </si>
  <si>
    <t>H13 385</t>
  </si>
  <si>
    <t>Vento +</t>
  </si>
  <si>
    <t>Yards Inf</t>
  </si>
  <si>
    <t>Hole 1</t>
  </si>
  <si>
    <t>N/A</t>
  </si>
  <si>
    <t>Hole 2</t>
  </si>
  <si>
    <t>Hole 3</t>
  </si>
  <si>
    <t>Hole 4</t>
  </si>
  <si>
    <t>Hole 5</t>
  </si>
  <si>
    <t>Hole 6</t>
  </si>
  <si>
    <t>Hole 7</t>
  </si>
  <si>
    <t>Hole 8</t>
  </si>
  <si>
    <t>Hole 9</t>
  </si>
  <si>
    <t>Hole 10</t>
  </si>
  <si>
    <t>Hole 11</t>
  </si>
  <si>
    <t>Hole 12</t>
  </si>
  <si>
    <t>Hole 13</t>
  </si>
  <si>
    <t>Hole 14</t>
  </si>
  <si>
    <t>Hole 15</t>
  </si>
  <si>
    <t>Hole 16</t>
  </si>
  <si>
    <t>Hole 17</t>
  </si>
  <si>
    <t>Hole 18</t>
  </si>
  <si>
    <t>422E</t>
  </si>
  <si>
    <t>422D</t>
  </si>
  <si>
    <t>Angulo</t>
  </si>
  <si>
    <t>angulo</t>
  </si>
  <si>
    <t xml:space="preserve">Spike </t>
  </si>
  <si>
    <t>Spike</t>
  </si>
  <si>
    <t>&lt;</t>
  </si>
  <si>
    <t>&gt;</t>
  </si>
  <si>
    <t>6I BEAM</t>
  </si>
  <si>
    <t xml:space="preserve"> 6I (N)</t>
  </si>
  <si>
    <t>Resultado PB</t>
  </si>
  <si>
    <t>Forca</t>
  </si>
  <si>
    <t>Inclinação</t>
  </si>
  <si>
    <t>Wiz City</t>
  </si>
  <si>
    <t>H8 - 408</t>
  </si>
  <si>
    <t>PB Aereo</t>
  </si>
  <si>
    <t>Formula</t>
  </si>
  <si>
    <t>Resto +</t>
  </si>
  <si>
    <t>Resto -</t>
  </si>
  <si>
    <t>H+ F</t>
  </si>
  <si>
    <t>H- F</t>
  </si>
  <si>
    <t>2w BS</t>
  </si>
  <si>
    <t>Callipers Ps</t>
  </si>
  <si>
    <t>P. Spike 1w</t>
  </si>
  <si>
    <t>Tacada</t>
  </si>
  <si>
    <t>Dunk 1w</t>
  </si>
  <si>
    <t>Spike 1w</t>
  </si>
  <si>
    <t>P.Spike 1w</t>
  </si>
  <si>
    <t>Y de INF - 1</t>
  </si>
  <si>
    <t>Y de INF - 2</t>
  </si>
  <si>
    <t>s/INF</t>
  </si>
  <si>
    <t>Yards?</t>
  </si>
  <si>
    <t>Res. (Yards?)</t>
  </si>
  <si>
    <t>P.Toma 1w</t>
  </si>
  <si>
    <t>Yards</t>
  </si>
  <si>
    <t>Res. (Força)</t>
  </si>
  <si>
    <t>Power Shot</t>
  </si>
  <si>
    <t>Click</t>
  </si>
  <si>
    <t>SC H5</t>
  </si>
  <si>
    <t>SC H6</t>
  </si>
  <si>
    <t>SC H16</t>
  </si>
  <si>
    <t>SC H17</t>
  </si>
  <si>
    <t>Quebras ~MyCella~</t>
  </si>
  <si>
    <t>Q.Teorica</t>
  </si>
  <si>
    <t>Alinhamento</t>
  </si>
  <si>
    <t>Q.Real</t>
  </si>
  <si>
    <t>Toma 1w</t>
  </si>
  <si>
    <t>Toma 2w</t>
  </si>
  <si>
    <t>Toma 3w</t>
  </si>
  <si>
    <t>Dunk 2i</t>
  </si>
  <si>
    <t>Beam 6i Alt.</t>
  </si>
  <si>
    <t>Dunk 2w</t>
  </si>
  <si>
    <t>Dunk 3w</t>
  </si>
  <si>
    <t>Dunk 1w 2PS</t>
  </si>
  <si>
    <t>Dunk 1w 1PS</t>
  </si>
  <si>
    <t>1w+30Spin</t>
  </si>
  <si>
    <t>1PS+30Spin</t>
  </si>
  <si>
    <t>2PS+30Spin</t>
  </si>
  <si>
    <t>BackSpin 1w</t>
  </si>
  <si>
    <t>BackSpin 2w</t>
  </si>
  <si>
    <t>Resto</t>
  </si>
  <si>
    <t>WHITE WIZ</t>
  </si>
  <si>
    <t>ABBOT MINE</t>
  </si>
  <si>
    <t>220,89E</t>
  </si>
  <si>
    <t>167,70E</t>
  </si>
  <si>
    <t>220,92D</t>
  </si>
  <si>
    <t>167,89D</t>
  </si>
  <si>
    <t>~</t>
  </si>
  <si>
    <t>240,68E</t>
  </si>
  <si>
    <t>236,86E</t>
  </si>
  <si>
    <t>236,72E</t>
  </si>
  <si>
    <t>241,31D</t>
  </si>
  <si>
    <t>237,14D</t>
  </si>
  <si>
    <t>237,35D</t>
  </si>
  <si>
    <t>ICE INFERNO</t>
  </si>
  <si>
    <t>299,35E</t>
  </si>
  <si>
    <t>299,25D</t>
  </si>
  <si>
    <t>Lost SeaWay</t>
  </si>
  <si>
    <t>Blue Lagoon</t>
  </si>
  <si>
    <t>White Wiz</t>
  </si>
  <si>
    <t>PIN</t>
  </si>
  <si>
    <t>&gt;&gt;</t>
  </si>
  <si>
    <t>&lt;&lt;</t>
  </si>
  <si>
    <t>LS011</t>
  </si>
  <si>
    <t>BL011</t>
  </si>
  <si>
    <t>WW011</t>
  </si>
  <si>
    <t>LS012</t>
  </si>
  <si>
    <t>BL012</t>
  </si>
  <si>
    <t>WW012</t>
  </si>
  <si>
    <t>LS013</t>
  </si>
  <si>
    <t>BL013</t>
  </si>
  <si>
    <t>WW013</t>
  </si>
  <si>
    <t>LS021</t>
  </si>
  <si>
    <t>BL021</t>
  </si>
  <si>
    <t>WW021</t>
  </si>
  <si>
    <t>LS022</t>
  </si>
  <si>
    <t>BL022</t>
  </si>
  <si>
    <t>WW022</t>
  </si>
  <si>
    <t>LS023</t>
  </si>
  <si>
    <t>BL023</t>
  </si>
  <si>
    <t>WW023</t>
  </si>
  <si>
    <t>LS031</t>
  </si>
  <si>
    <t>BL031</t>
  </si>
  <si>
    <t>WW031</t>
  </si>
  <si>
    <t>LS032</t>
  </si>
  <si>
    <t>BL032</t>
  </si>
  <si>
    <t>WW032</t>
  </si>
  <si>
    <t>LS033</t>
  </si>
  <si>
    <t>BL033</t>
  </si>
  <si>
    <t>WW033</t>
  </si>
  <si>
    <t>LS041</t>
  </si>
  <si>
    <t>BL041</t>
  </si>
  <si>
    <t>WW041</t>
  </si>
  <si>
    <t>LS042</t>
  </si>
  <si>
    <t>BL042</t>
  </si>
  <si>
    <t>WW042</t>
  </si>
  <si>
    <t>LS043</t>
  </si>
  <si>
    <t>BL043</t>
  </si>
  <si>
    <t>WW043</t>
  </si>
  <si>
    <t>LS051</t>
  </si>
  <si>
    <t>BL051</t>
  </si>
  <si>
    <t>WW051</t>
  </si>
  <si>
    <t>LS052</t>
  </si>
  <si>
    <t>BL052</t>
  </si>
  <si>
    <t>WW052</t>
  </si>
  <si>
    <t>LS053</t>
  </si>
  <si>
    <t>BL053</t>
  </si>
  <si>
    <t>WW053</t>
  </si>
  <si>
    <t>LS061</t>
  </si>
  <si>
    <t>BL061</t>
  </si>
  <si>
    <t>WW061</t>
  </si>
  <si>
    <t>LS062</t>
  </si>
  <si>
    <t>BL062</t>
  </si>
  <si>
    <t>WW062</t>
  </si>
  <si>
    <t>LS063</t>
  </si>
  <si>
    <t>BL063</t>
  </si>
  <si>
    <t>WW063</t>
  </si>
  <si>
    <t>LS071</t>
  </si>
  <si>
    <t>BL071</t>
  </si>
  <si>
    <t>WW071</t>
  </si>
  <si>
    <t>LS072</t>
  </si>
  <si>
    <t>BL072</t>
  </si>
  <si>
    <t>WW072</t>
  </si>
  <si>
    <t>LS073</t>
  </si>
  <si>
    <t>BL073</t>
  </si>
  <si>
    <t>WW073</t>
  </si>
  <si>
    <t>LS081</t>
  </si>
  <si>
    <t>BL081</t>
  </si>
  <si>
    <t>WW081</t>
  </si>
  <si>
    <t>LS082</t>
  </si>
  <si>
    <t>BL082</t>
  </si>
  <si>
    <t>WW082</t>
  </si>
  <si>
    <t>LS083</t>
  </si>
  <si>
    <t>BL083</t>
  </si>
  <si>
    <t>WW083</t>
  </si>
  <si>
    <t>LS091</t>
  </si>
  <si>
    <t>BL091</t>
  </si>
  <si>
    <t>WW091</t>
  </si>
  <si>
    <t>LS092</t>
  </si>
  <si>
    <t>BL092</t>
  </si>
  <si>
    <t>WW092</t>
  </si>
  <si>
    <t>LS093</t>
  </si>
  <si>
    <t>BL093</t>
  </si>
  <si>
    <t>WW093</t>
  </si>
  <si>
    <t>LS101</t>
  </si>
  <si>
    <t>BL101</t>
  </si>
  <si>
    <t>WW101</t>
  </si>
  <si>
    <t>LS102</t>
  </si>
  <si>
    <t>BL102</t>
  </si>
  <si>
    <t>WW102</t>
  </si>
  <si>
    <t>LS103</t>
  </si>
  <si>
    <t>BL103</t>
  </si>
  <si>
    <t>WW103</t>
  </si>
  <si>
    <t>LS111</t>
  </si>
  <si>
    <t>BL111</t>
  </si>
  <si>
    <t>WW111</t>
  </si>
  <si>
    <t>LS112</t>
  </si>
  <si>
    <t>BL112</t>
  </si>
  <si>
    <t>WW112</t>
  </si>
  <si>
    <t>LS113</t>
  </si>
  <si>
    <t>BL113</t>
  </si>
  <si>
    <t>WW113</t>
  </si>
  <si>
    <t>LS121</t>
  </si>
  <si>
    <t>BL121</t>
  </si>
  <si>
    <t>WW121</t>
  </si>
  <si>
    <t>LS122</t>
  </si>
  <si>
    <t>BL122</t>
  </si>
  <si>
    <t>WW122</t>
  </si>
  <si>
    <t>LS123</t>
  </si>
  <si>
    <t>BL123</t>
  </si>
  <si>
    <t>WW123</t>
  </si>
  <si>
    <t>LS131</t>
  </si>
  <si>
    <t>BL131</t>
  </si>
  <si>
    <t>WW131</t>
  </si>
  <si>
    <t>LS132</t>
  </si>
  <si>
    <t>BL132</t>
  </si>
  <si>
    <t>WW132</t>
  </si>
  <si>
    <t>LS133</t>
  </si>
  <si>
    <t>BL133</t>
  </si>
  <si>
    <t>WW133</t>
  </si>
  <si>
    <t>LS141</t>
  </si>
  <si>
    <t>BL141</t>
  </si>
  <si>
    <t>WW141</t>
  </si>
  <si>
    <t>LS142</t>
  </si>
  <si>
    <t>BL142</t>
  </si>
  <si>
    <t>WW142</t>
  </si>
  <si>
    <t>LS143</t>
  </si>
  <si>
    <t>BL143</t>
  </si>
  <si>
    <t>WW143</t>
  </si>
  <si>
    <t>LS151</t>
  </si>
  <si>
    <t>BL151</t>
  </si>
  <si>
    <t>WW151</t>
  </si>
  <si>
    <t>LS152</t>
  </si>
  <si>
    <t>BL152</t>
  </si>
  <si>
    <t>WW152</t>
  </si>
  <si>
    <t>LS153</t>
  </si>
  <si>
    <t>BL153</t>
  </si>
  <si>
    <t>WW153</t>
  </si>
  <si>
    <t>LS161</t>
  </si>
  <si>
    <t>BL161</t>
  </si>
  <si>
    <t>WW161</t>
  </si>
  <si>
    <t>LS162</t>
  </si>
  <si>
    <t>BL162</t>
  </si>
  <si>
    <t>WW162</t>
  </si>
  <si>
    <t>LS163</t>
  </si>
  <si>
    <t>BL163</t>
  </si>
  <si>
    <t>WW163</t>
  </si>
  <si>
    <t>LS171</t>
  </si>
  <si>
    <t>BL171</t>
  </si>
  <si>
    <t>WW171</t>
  </si>
  <si>
    <t>LS172</t>
  </si>
  <si>
    <t>BL172</t>
  </si>
  <si>
    <t>WW172</t>
  </si>
  <si>
    <t>LS173</t>
  </si>
  <si>
    <t>BL173</t>
  </si>
  <si>
    <t>WW173</t>
  </si>
  <si>
    <t>LS181</t>
  </si>
  <si>
    <t>BL181</t>
  </si>
  <si>
    <t>WW181</t>
  </si>
  <si>
    <t>LS182</t>
  </si>
  <si>
    <t>BL182</t>
  </si>
  <si>
    <t>WW182</t>
  </si>
  <si>
    <t>LS183</t>
  </si>
  <si>
    <t>BL183</t>
  </si>
  <si>
    <t>WW183</t>
  </si>
  <si>
    <t>IS011</t>
  </si>
  <si>
    <t>PW011</t>
  </si>
  <si>
    <t>IS012</t>
  </si>
  <si>
    <t>PW012</t>
  </si>
  <si>
    <t>IS013</t>
  </si>
  <si>
    <t>PW013</t>
  </si>
  <si>
    <t>IS021</t>
  </si>
  <si>
    <t>PW021</t>
  </si>
  <si>
    <t>IS022</t>
  </si>
  <si>
    <t>PW022</t>
  </si>
  <si>
    <t>IS023</t>
  </si>
  <si>
    <t>PW023</t>
  </si>
  <si>
    <t>IS031</t>
  </si>
  <si>
    <t>PW031</t>
  </si>
  <si>
    <t>IS032</t>
  </si>
  <si>
    <t>PW032</t>
  </si>
  <si>
    <t>IS033</t>
  </si>
  <si>
    <t>PW033</t>
  </si>
  <si>
    <t>IS041</t>
  </si>
  <si>
    <t>PW041</t>
  </si>
  <si>
    <t>IS042</t>
  </si>
  <si>
    <t>PW042</t>
  </si>
  <si>
    <t>IS043</t>
  </si>
  <si>
    <t>PW043</t>
  </si>
  <si>
    <t>IS051</t>
  </si>
  <si>
    <t>PW051</t>
  </si>
  <si>
    <t>IS052</t>
  </si>
  <si>
    <t>PW052</t>
  </si>
  <si>
    <t>IS053</t>
  </si>
  <si>
    <t>PW053</t>
  </si>
  <si>
    <t>IS061</t>
  </si>
  <si>
    <t>PW061</t>
  </si>
  <si>
    <t>IS062</t>
  </si>
  <si>
    <t>PW062</t>
  </si>
  <si>
    <t>IS063</t>
  </si>
  <si>
    <t>PW063</t>
  </si>
  <si>
    <t>IS071</t>
  </si>
  <si>
    <t>PW071</t>
  </si>
  <si>
    <t>IS072</t>
  </si>
  <si>
    <t>PW072</t>
  </si>
  <si>
    <t>IS073</t>
  </si>
  <si>
    <t>PW073</t>
  </si>
  <si>
    <t>IS081</t>
  </si>
  <si>
    <t>PW081</t>
  </si>
  <si>
    <t>IS082</t>
  </si>
  <si>
    <t>PW082</t>
  </si>
  <si>
    <t>IS083</t>
  </si>
  <si>
    <t>PW083</t>
  </si>
  <si>
    <t>IS091</t>
  </si>
  <si>
    <t>PW091</t>
  </si>
  <si>
    <t>IS092</t>
  </si>
  <si>
    <t>PW092</t>
  </si>
  <si>
    <t>IS093</t>
  </si>
  <si>
    <t>PW093</t>
  </si>
  <si>
    <t>IS101</t>
  </si>
  <si>
    <t>PW101</t>
  </si>
  <si>
    <t>IS102</t>
  </si>
  <si>
    <t>PW102</t>
  </si>
  <si>
    <t>IS103</t>
  </si>
  <si>
    <t>PW103</t>
  </si>
  <si>
    <t>IS111</t>
  </si>
  <si>
    <t>PW111</t>
  </si>
  <si>
    <t>IS112</t>
  </si>
  <si>
    <t>PW112</t>
  </si>
  <si>
    <t>IS113</t>
  </si>
  <si>
    <t>PW113</t>
  </si>
  <si>
    <t>IS121</t>
  </si>
  <si>
    <t>PW121</t>
  </si>
  <si>
    <t>IS122</t>
  </si>
  <si>
    <t>PW122</t>
  </si>
  <si>
    <t>IS123</t>
  </si>
  <si>
    <t>PW123</t>
  </si>
  <si>
    <t>IS131</t>
  </si>
  <si>
    <t>PW131</t>
  </si>
  <si>
    <t>IS132</t>
  </si>
  <si>
    <t>PW132</t>
  </si>
  <si>
    <t>IS133</t>
  </si>
  <si>
    <t>PW133</t>
  </si>
  <si>
    <t>IS141</t>
  </si>
  <si>
    <t>PW141</t>
  </si>
  <si>
    <t>IS142</t>
  </si>
  <si>
    <t>PW142</t>
  </si>
  <si>
    <t>IS143</t>
  </si>
  <si>
    <t>PW143</t>
  </si>
  <si>
    <t>IS151</t>
  </si>
  <si>
    <t>PW151</t>
  </si>
  <si>
    <t>IS152</t>
  </si>
  <si>
    <t>PW152</t>
  </si>
  <si>
    <t>IS153</t>
  </si>
  <si>
    <t>PW153</t>
  </si>
  <si>
    <t>IS161</t>
  </si>
  <si>
    <t>PW161</t>
  </si>
  <si>
    <t>IS162</t>
  </si>
  <si>
    <t>PW162</t>
  </si>
  <si>
    <t>IS163</t>
  </si>
  <si>
    <t>PW163</t>
  </si>
  <si>
    <t>IS171</t>
  </si>
  <si>
    <t>PW171</t>
  </si>
  <si>
    <t>IS172</t>
  </si>
  <si>
    <t>PW172</t>
  </si>
  <si>
    <t>IS173</t>
  </si>
  <si>
    <t>PW173</t>
  </si>
  <si>
    <t>IS181</t>
  </si>
  <si>
    <t>PW181</t>
  </si>
  <si>
    <t>IS182</t>
  </si>
  <si>
    <t>PW182</t>
  </si>
  <si>
    <t>IS183</t>
  </si>
  <si>
    <t>PW183</t>
  </si>
  <si>
    <t>SS011</t>
  </si>
  <si>
    <t>SW011</t>
  </si>
  <si>
    <t>IC011</t>
  </si>
  <si>
    <t>SS012</t>
  </si>
  <si>
    <t>SW012</t>
  </si>
  <si>
    <t>IC012</t>
  </si>
  <si>
    <t>SS013</t>
  </si>
  <si>
    <t>SW013</t>
  </si>
  <si>
    <t>IC013</t>
  </si>
  <si>
    <t>SS021</t>
  </si>
  <si>
    <t>SW021</t>
  </si>
  <si>
    <t>IC021</t>
  </si>
  <si>
    <t>SS022</t>
  </si>
  <si>
    <t>SW022</t>
  </si>
  <si>
    <t>IC022</t>
  </si>
  <si>
    <t>SS023</t>
  </si>
  <si>
    <t>SW023</t>
  </si>
  <si>
    <t>IC023</t>
  </si>
  <si>
    <t>SS031</t>
  </si>
  <si>
    <t>SW031</t>
  </si>
  <si>
    <t>IC031</t>
  </si>
  <si>
    <t>SS032</t>
  </si>
  <si>
    <t>SW032</t>
  </si>
  <si>
    <t>IC032</t>
  </si>
  <si>
    <t>SS033</t>
  </si>
  <si>
    <t>SW033</t>
  </si>
  <si>
    <t>IC033</t>
  </si>
  <si>
    <t>SS041</t>
  </si>
  <si>
    <t>SW041</t>
  </si>
  <si>
    <t>IC041</t>
  </si>
  <si>
    <t>SS042</t>
  </si>
  <si>
    <t>SW042</t>
  </si>
  <si>
    <t>IC042</t>
  </si>
  <si>
    <t>SS043</t>
  </si>
  <si>
    <t>SW043</t>
  </si>
  <si>
    <t>IC043</t>
  </si>
  <si>
    <t>SS051</t>
  </si>
  <si>
    <t>SW051</t>
  </si>
  <si>
    <t>IC051</t>
  </si>
  <si>
    <t>SS052</t>
  </si>
  <si>
    <t>SW052</t>
  </si>
  <si>
    <t>IC052</t>
  </si>
  <si>
    <t>SS053</t>
  </si>
  <si>
    <t>SW053</t>
  </si>
  <si>
    <t>IC053</t>
  </si>
  <si>
    <t>SS061</t>
  </si>
  <si>
    <t>SW061</t>
  </si>
  <si>
    <t>IC061</t>
  </si>
  <si>
    <t>SS062</t>
  </si>
  <si>
    <t>SW062</t>
  </si>
  <si>
    <t>IC062</t>
  </si>
  <si>
    <t>SS063</t>
  </si>
  <si>
    <t>SW063</t>
  </si>
  <si>
    <t>IC063</t>
  </si>
  <si>
    <t>SS071</t>
  </si>
  <si>
    <t>SW071</t>
  </si>
  <si>
    <t>IC071</t>
  </si>
  <si>
    <t>SS072</t>
  </si>
  <si>
    <t>SW072</t>
  </si>
  <si>
    <t>IC072</t>
  </si>
  <si>
    <t>SS073</t>
  </si>
  <si>
    <t>SW073</t>
  </si>
  <si>
    <t>IC073</t>
  </si>
  <si>
    <t>SS081</t>
  </si>
  <si>
    <t>SW081</t>
  </si>
  <si>
    <t>IC081</t>
  </si>
  <si>
    <t>SS082</t>
  </si>
  <si>
    <t>SW082</t>
  </si>
  <si>
    <t>IC082</t>
  </si>
  <si>
    <t>SS083</t>
  </si>
  <si>
    <t>SW083</t>
  </si>
  <si>
    <t>IC083</t>
  </si>
  <si>
    <t>SS091</t>
  </si>
  <si>
    <t>SW091</t>
  </si>
  <si>
    <t>IC091</t>
  </si>
  <si>
    <t>SS092</t>
  </si>
  <si>
    <t>SW092</t>
  </si>
  <si>
    <t>IC092</t>
  </si>
  <si>
    <t>SS093</t>
  </si>
  <si>
    <t>SW093</t>
  </si>
  <si>
    <t>IC093</t>
  </si>
  <si>
    <t>SS101</t>
  </si>
  <si>
    <t>SW101</t>
  </si>
  <si>
    <t>IC101</t>
  </si>
  <si>
    <t>SS102</t>
  </si>
  <si>
    <t>SW102</t>
  </si>
  <si>
    <t>IC102</t>
  </si>
  <si>
    <t>SS103</t>
  </si>
  <si>
    <t>SW103</t>
  </si>
  <si>
    <t>IC103</t>
  </si>
  <si>
    <t>SS111</t>
  </si>
  <si>
    <t>SW111</t>
  </si>
  <si>
    <t>IC111</t>
  </si>
  <si>
    <t>SS112</t>
  </si>
  <si>
    <t>SW112</t>
  </si>
  <si>
    <t>IC112</t>
  </si>
  <si>
    <t>SS113</t>
  </si>
  <si>
    <t>SW113</t>
  </si>
  <si>
    <t>IC113</t>
  </si>
  <si>
    <t>SS121</t>
  </si>
  <si>
    <t>SW121</t>
  </si>
  <si>
    <t>IC121</t>
  </si>
  <si>
    <t>SS122</t>
  </si>
  <si>
    <t>SW122</t>
  </si>
  <si>
    <t>IC122</t>
  </si>
  <si>
    <t>SS123</t>
  </si>
  <si>
    <t>SW123</t>
  </si>
  <si>
    <t>IC123</t>
  </si>
  <si>
    <t>SS131</t>
  </si>
  <si>
    <t>SW131</t>
  </si>
  <si>
    <t>IC131</t>
  </si>
  <si>
    <t>SS132</t>
  </si>
  <si>
    <t>SW132</t>
  </si>
  <si>
    <t>IC132</t>
  </si>
  <si>
    <t>SS133</t>
  </si>
  <si>
    <t>SW133</t>
  </si>
  <si>
    <t>IC133</t>
  </si>
  <si>
    <t>SS141</t>
  </si>
  <si>
    <t>SW141</t>
  </si>
  <si>
    <t>IC141</t>
  </si>
  <si>
    <t>SS142</t>
  </si>
  <si>
    <t>SW142</t>
  </si>
  <si>
    <t>IC142</t>
  </si>
  <si>
    <t>SS143</t>
  </si>
  <si>
    <t>SW143</t>
  </si>
  <si>
    <t>IC143</t>
  </si>
  <si>
    <t>SS151</t>
  </si>
  <si>
    <t>SW151</t>
  </si>
  <si>
    <t>IC151</t>
  </si>
  <si>
    <t>SS152</t>
  </si>
  <si>
    <t>SW152</t>
  </si>
  <si>
    <t>IC152</t>
  </si>
  <si>
    <t>SS153</t>
  </si>
  <si>
    <t>SW153</t>
  </si>
  <si>
    <t>IC153</t>
  </si>
  <si>
    <t>SS161</t>
  </si>
  <si>
    <t>SW161</t>
  </si>
  <si>
    <t>IC161</t>
  </si>
  <si>
    <t>SS162</t>
  </si>
  <si>
    <t>SW162</t>
  </si>
  <si>
    <t>IC162</t>
  </si>
  <si>
    <t>SS163</t>
  </si>
  <si>
    <t>SW163</t>
  </si>
  <si>
    <t>IC163</t>
  </si>
  <si>
    <t>SS171</t>
  </si>
  <si>
    <t>SW171</t>
  </si>
  <si>
    <t>IC171</t>
  </si>
  <si>
    <t>SS172</t>
  </si>
  <si>
    <t>SW172</t>
  </si>
  <si>
    <t>IC172</t>
  </si>
  <si>
    <t>SS173</t>
  </si>
  <si>
    <t>SW173</t>
  </si>
  <si>
    <t>IC173</t>
  </si>
  <si>
    <t>SS181</t>
  </si>
  <si>
    <t>SW181</t>
  </si>
  <si>
    <t>IC181</t>
  </si>
  <si>
    <t>SS182</t>
  </si>
  <si>
    <t>SW182</t>
  </si>
  <si>
    <t>IC182</t>
  </si>
  <si>
    <t>SS183</t>
  </si>
  <si>
    <t>SW183</t>
  </si>
  <si>
    <t>IC183</t>
  </si>
  <si>
    <t>Blue Water</t>
  </si>
  <si>
    <t>Blue Moon</t>
  </si>
  <si>
    <t>EV011</t>
  </si>
  <si>
    <t>BW011</t>
  </si>
  <si>
    <t>BM011</t>
  </si>
  <si>
    <t>EV012</t>
  </si>
  <si>
    <t>BW012</t>
  </si>
  <si>
    <t>BM012</t>
  </si>
  <si>
    <t>EV013</t>
  </si>
  <si>
    <t>BW013</t>
  </si>
  <si>
    <t>BM013</t>
  </si>
  <si>
    <t>EV021</t>
  </si>
  <si>
    <t>BW021</t>
  </si>
  <si>
    <t>BM021</t>
  </si>
  <si>
    <t>EV022</t>
  </si>
  <si>
    <t>BW022</t>
  </si>
  <si>
    <t>BM022</t>
  </si>
  <si>
    <t>EV023</t>
  </si>
  <si>
    <t>BW023</t>
  </si>
  <si>
    <t>BM023</t>
  </si>
  <si>
    <t>EV031</t>
  </si>
  <si>
    <t>BW031</t>
  </si>
  <si>
    <t>BM031</t>
  </si>
  <si>
    <t>EV032</t>
  </si>
  <si>
    <t>BW032</t>
  </si>
  <si>
    <t>BM032</t>
  </si>
  <si>
    <t>EV033</t>
  </si>
  <si>
    <t>BW033</t>
  </si>
  <si>
    <t>BM033</t>
  </si>
  <si>
    <t>?</t>
  </si>
  <si>
    <t>EV041</t>
  </si>
  <si>
    <t>BW041</t>
  </si>
  <si>
    <t>BM041</t>
  </si>
  <si>
    <t>EV042</t>
  </si>
  <si>
    <t>BW042</t>
  </si>
  <si>
    <t>BM042</t>
  </si>
  <si>
    <t>EV043</t>
  </si>
  <si>
    <t>BW043</t>
  </si>
  <si>
    <t>BM043</t>
  </si>
  <si>
    <t>EV051</t>
  </si>
  <si>
    <t>BW051</t>
  </si>
  <si>
    <t>BM051</t>
  </si>
  <si>
    <t>EV052</t>
  </si>
  <si>
    <t>BW052</t>
  </si>
  <si>
    <t>BM052</t>
  </si>
  <si>
    <t>EV053</t>
  </si>
  <si>
    <t>BW053</t>
  </si>
  <si>
    <t>BM053</t>
  </si>
  <si>
    <t>EV061</t>
  </si>
  <si>
    <t>BW061</t>
  </si>
  <si>
    <t>BM061</t>
  </si>
  <si>
    <t>EV062</t>
  </si>
  <si>
    <t>BW062</t>
  </si>
  <si>
    <t>BM062</t>
  </si>
  <si>
    <t>EV063</t>
  </si>
  <si>
    <t>BW063</t>
  </si>
  <si>
    <t>BM063</t>
  </si>
  <si>
    <t>EV071</t>
  </si>
  <si>
    <t>BW071</t>
  </si>
  <si>
    <t>BM071</t>
  </si>
  <si>
    <t>EV072</t>
  </si>
  <si>
    <t>BW072</t>
  </si>
  <si>
    <t>BM072</t>
  </si>
  <si>
    <t>EV073</t>
  </si>
  <si>
    <t>BW073</t>
  </si>
  <si>
    <t>BM073</t>
  </si>
  <si>
    <t>EV081</t>
  </si>
  <si>
    <t>BW081</t>
  </si>
  <si>
    <t>BM081</t>
  </si>
  <si>
    <t>EV082</t>
  </si>
  <si>
    <t>BW082</t>
  </si>
  <si>
    <t>BM082</t>
  </si>
  <si>
    <t>EV083</t>
  </si>
  <si>
    <t>BW083</t>
  </si>
  <si>
    <t>BM083</t>
  </si>
  <si>
    <t>EV091</t>
  </si>
  <si>
    <t>BW091</t>
  </si>
  <si>
    <t>BM091</t>
  </si>
  <si>
    <t>EV092</t>
  </si>
  <si>
    <t>BW092</t>
  </si>
  <si>
    <t>BM092</t>
  </si>
  <si>
    <t>EV093</t>
  </si>
  <si>
    <t>BW093</t>
  </si>
  <si>
    <t>BM093</t>
  </si>
  <si>
    <t>EV101</t>
  </si>
  <si>
    <t>BW101</t>
  </si>
  <si>
    <t>BM101</t>
  </si>
  <si>
    <t>EV102</t>
  </si>
  <si>
    <t>BW102</t>
  </si>
  <si>
    <t>BM102</t>
  </si>
  <si>
    <t>EV103</t>
  </si>
  <si>
    <t>BW103</t>
  </si>
  <si>
    <t>BM103</t>
  </si>
  <si>
    <t>EV111</t>
  </si>
  <si>
    <t>BW111</t>
  </si>
  <si>
    <t>BM111</t>
  </si>
  <si>
    <t>EV112</t>
  </si>
  <si>
    <t>BW112</t>
  </si>
  <si>
    <t>BM112</t>
  </si>
  <si>
    <t>EV113</t>
  </si>
  <si>
    <t>BW113</t>
  </si>
  <si>
    <t>BM113</t>
  </si>
  <si>
    <t>EV121</t>
  </si>
  <si>
    <t>BW121</t>
  </si>
  <si>
    <t>BM121</t>
  </si>
  <si>
    <t>EV122</t>
  </si>
  <si>
    <t>BW122</t>
  </si>
  <si>
    <t>BM122</t>
  </si>
  <si>
    <t>EV123</t>
  </si>
  <si>
    <t>BW123</t>
  </si>
  <si>
    <t>BM123</t>
  </si>
  <si>
    <t>EV131</t>
  </si>
  <si>
    <t>BW131</t>
  </si>
  <si>
    <t>BM131</t>
  </si>
  <si>
    <t>EV132</t>
  </si>
  <si>
    <t>BW132</t>
  </si>
  <si>
    <t>BM132</t>
  </si>
  <si>
    <t>EV133</t>
  </si>
  <si>
    <t>BW133</t>
  </si>
  <si>
    <t>BM133</t>
  </si>
  <si>
    <t>EV141</t>
  </si>
  <si>
    <t>BW141</t>
  </si>
  <si>
    <t>BM141</t>
  </si>
  <si>
    <t>EV142</t>
  </si>
  <si>
    <t>BW142</t>
  </si>
  <si>
    <t>BM142</t>
  </si>
  <si>
    <t>EV143</t>
  </si>
  <si>
    <t>BW143</t>
  </si>
  <si>
    <t>BM143</t>
  </si>
  <si>
    <t>EV151</t>
  </si>
  <si>
    <t>BW151</t>
  </si>
  <si>
    <t>BM151</t>
  </si>
  <si>
    <t>EV152</t>
  </si>
  <si>
    <t>BW152</t>
  </si>
  <si>
    <t>BM152</t>
  </si>
  <si>
    <t>EV153</t>
  </si>
  <si>
    <t>BW153</t>
  </si>
  <si>
    <t>BM153</t>
  </si>
  <si>
    <t>EV161</t>
  </si>
  <si>
    <t>BW161</t>
  </si>
  <si>
    <t>BM161</t>
  </si>
  <si>
    <t>EV162</t>
  </si>
  <si>
    <t>BW162</t>
  </si>
  <si>
    <t>BM162</t>
  </si>
  <si>
    <t>EV163</t>
  </si>
  <si>
    <t>BW163</t>
  </si>
  <si>
    <t>BM163</t>
  </si>
  <si>
    <t>EV171</t>
  </si>
  <si>
    <t>BW171</t>
  </si>
  <si>
    <t>BM171</t>
  </si>
  <si>
    <t>EV172</t>
  </si>
  <si>
    <t>BW172</t>
  </si>
  <si>
    <t>BM172</t>
  </si>
  <si>
    <t>EV173</t>
  </si>
  <si>
    <t>BW173</t>
  </si>
  <si>
    <t>BM173</t>
  </si>
  <si>
    <t>EV181</t>
  </si>
  <si>
    <t>BW181</t>
  </si>
  <si>
    <t>BM181</t>
  </si>
  <si>
    <t>EV182</t>
  </si>
  <si>
    <t>BW182</t>
  </si>
  <si>
    <t>BM182</t>
  </si>
  <si>
    <t>EV183</t>
  </si>
  <si>
    <t>BW183</t>
  </si>
  <si>
    <t>BM183</t>
  </si>
  <si>
    <t>Wiz Wiz</t>
  </si>
  <si>
    <t>Deep Inferno</t>
  </si>
  <si>
    <t>DI011</t>
  </si>
  <si>
    <t>WH011</t>
  </si>
  <si>
    <t>DI012</t>
  </si>
  <si>
    <t>WH012</t>
  </si>
  <si>
    <t>DI013</t>
  </si>
  <si>
    <t>WH013</t>
  </si>
  <si>
    <t>DI021</t>
  </si>
  <si>
    <t>WH021</t>
  </si>
  <si>
    <t>DI022</t>
  </si>
  <si>
    <t>WH022</t>
  </si>
  <si>
    <t>DI023</t>
  </si>
  <si>
    <t>WH023</t>
  </si>
  <si>
    <t>DI031</t>
  </si>
  <si>
    <t>WH031</t>
  </si>
  <si>
    <t>DI032</t>
  </si>
  <si>
    <t>WH032</t>
  </si>
  <si>
    <t>DI033</t>
  </si>
  <si>
    <t>WH033</t>
  </si>
  <si>
    <t>DI041</t>
  </si>
  <si>
    <t>WH041</t>
  </si>
  <si>
    <t>DI042</t>
  </si>
  <si>
    <t>WH042</t>
  </si>
  <si>
    <t>DI043</t>
  </si>
  <si>
    <t>WH043</t>
  </si>
  <si>
    <t>DI051</t>
  </si>
  <si>
    <t>WH051</t>
  </si>
  <si>
    <t>DI052</t>
  </si>
  <si>
    <t>WH052</t>
  </si>
  <si>
    <t>DI053</t>
  </si>
  <si>
    <t>WH053</t>
  </si>
  <si>
    <t>DI061</t>
  </si>
  <si>
    <t>WH061</t>
  </si>
  <si>
    <t>DI062</t>
  </si>
  <si>
    <t>WH062</t>
  </si>
  <si>
    <t>DI063</t>
  </si>
  <si>
    <t>WH063</t>
  </si>
  <si>
    <t>DI071</t>
  </si>
  <si>
    <t>WH071</t>
  </si>
  <si>
    <t>DI072</t>
  </si>
  <si>
    <t>WH072</t>
  </si>
  <si>
    <t>DI073</t>
  </si>
  <si>
    <t>WH073</t>
  </si>
  <si>
    <t>DI081</t>
  </si>
  <si>
    <t>WH081</t>
  </si>
  <si>
    <t>DI082</t>
  </si>
  <si>
    <t>WH082</t>
  </si>
  <si>
    <t>DI083</t>
  </si>
  <si>
    <t>WH083</t>
  </si>
  <si>
    <t>DI091</t>
  </si>
  <si>
    <t>WH091</t>
  </si>
  <si>
    <t>DI092</t>
  </si>
  <si>
    <t>WH092</t>
  </si>
  <si>
    <t>DI093</t>
  </si>
  <si>
    <t>WH093</t>
  </si>
  <si>
    <t>DI101</t>
  </si>
  <si>
    <t>WH101</t>
  </si>
  <si>
    <t>DI102</t>
  </si>
  <si>
    <t>WH102</t>
  </si>
  <si>
    <t>DI103</t>
  </si>
  <si>
    <t>WH103</t>
  </si>
  <si>
    <t>DI111</t>
  </si>
  <si>
    <t>WH111</t>
  </si>
  <si>
    <t>DI112</t>
  </si>
  <si>
    <t>WH112</t>
  </si>
  <si>
    <t>DI113</t>
  </si>
  <si>
    <t>WH113</t>
  </si>
  <si>
    <t>DI121</t>
  </si>
  <si>
    <t>WH121</t>
  </si>
  <si>
    <t>DI122</t>
  </si>
  <si>
    <t>WH122</t>
  </si>
  <si>
    <t>DI123</t>
  </si>
  <si>
    <t>WH123</t>
  </si>
  <si>
    <t>DI131</t>
  </si>
  <si>
    <t>WH131</t>
  </si>
  <si>
    <t>DI132</t>
  </si>
  <si>
    <t>WH132</t>
  </si>
  <si>
    <t>DI133</t>
  </si>
  <si>
    <t>WH133</t>
  </si>
  <si>
    <t>DI141</t>
  </si>
  <si>
    <t>WH141</t>
  </si>
  <si>
    <t>DI142</t>
  </si>
  <si>
    <t>WH142</t>
  </si>
  <si>
    <t>DI143</t>
  </si>
  <si>
    <t>WH143</t>
  </si>
  <si>
    <t>DI151</t>
  </si>
  <si>
    <t>WH151</t>
  </si>
  <si>
    <t>DI152</t>
  </si>
  <si>
    <t>WH152</t>
  </si>
  <si>
    <t>DI153</t>
  </si>
  <si>
    <t>WH153</t>
  </si>
  <si>
    <t>DI161</t>
  </si>
  <si>
    <t>WH161</t>
  </si>
  <si>
    <t>DI162</t>
  </si>
  <si>
    <t>WH162</t>
  </si>
  <si>
    <t>DI163</t>
  </si>
  <si>
    <t>WH163</t>
  </si>
  <si>
    <t>DI171</t>
  </si>
  <si>
    <t>WH171</t>
  </si>
  <si>
    <t>DI172</t>
  </si>
  <si>
    <t>WH172</t>
  </si>
  <si>
    <t>DI173</t>
  </si>
  <si>
    <t>WH173</t>
  </si>
  <si>
    <t>DI181</t>
  </si>
  <si>
    <t>WH181</t>
  </si>
  <si>
    <t>DI182</t>
  </si>
  <si>
    <t>WH182</t>
  </si>
  <si>
    <t>DI183</t>
  </si>
  <si>
    <t>WH183</t>
  </si>
  <si>
    <t>Silvia Cannon</t>
  </si>
  <si>
    <t>Ice Inferno</t>
  </si>
  <si>
    <t>SC011</t>
  </si>
  <si>
    <t>II011</t>
  </si>
  <si>
    <t>WC011</t>
  </si>
  <si>
    <t>SC012</t>
  </si>
  <si>
    <t>II012</t>
  </si>
  <si>
    <t>WC012</t>
  </si>
  <si>
    <t>SC013</t>
  </si>
  <si>
    <t>II013</t>
  </si>
  <si>
    <t>WC013</t>
  </si>
  <si>
    <t>SC021</t>
  </si>
  <si>
    <t>II021</t>
  </si>
  <si>
    <t>WC021</t>
  </si>
  <si>
    <t>SC022</t>
  </si>
  <si>
    <t>II022</t>
  </si>
  <si>
    <t>WC022</t>
  </si>
  <si>
    <t>SC023</t>
  </si>
  <si>
    <t>II023</t>
  </si>
  <si>
    <t>WC023</t>
  </si>
  <si>
    <t>SC031</t>
  </si>
  <si>
    <t>II031</t>
  </si>
  <si>
    <t>WC031</t>
  </si>
  <si>
    <t>SC032</t>
  </si>
  <si>
    <t>II032</t>
  </si>
  <si>
    <t>WC032</t>
  </si>
  <si>
    <t>SC033</t>
  </si>
  <si>
    <t>II033</t>
  </si>
  <si>
    <t>WC033</t>
  </si>
  <si>
    <t>SC041</t>
  </si>
  <si>
    <t>I041</t>
  </si>
  <si>
    <t>WC041</t>
  </si>
  <si>
    <t>SC042</t>
  </si>
  <si>
    <t>II042</t>
  </si>
  <si>
    <t>WC042</t>
  </si>
  <si>
    <t>SC043</t>
  </si>
  <si>
    <t>II043</t>
  </si>
  <si>
    <t>WC043</t>
  </si>
  <si>
    <t>SC051</t>
  </si>
  <si>
    <t>II051</t>
  </si>
  <si>
    <t>WC051</t>
  </si>
  <si>
    <t>SC052</t>
  </si>
  <si>
    <t>II052</t>
  </si>
  <si>
    <t>WC052</t>
  </si>
  <si>
    <t>SC053</t>
  </si>
  <si>
    <t>II053</t>
  </si>
  <si>
    <t>WC053</t>
  </si>
  <si>
    <t>SC061</t>
  </si>
  <si>
    <t>II061</t>
  </si>
  <si>
    <t>WC061</t>
  </si>
  <si>
    <t>SC062</t>
  </si>
  <si>
    <t>II062</t>
  </si>
  <si>
    <t>WC062</t>
  </si>
  <si>
    <t>SC063</t>
  </si>
  <si>
    <t>II063</t>
  </si>
  <si>
    <t>WC063</t>
  </si>
  <si>
    <t>SC071</t>
  </si>
  <si>
    <t>II071</t>
  </si>
  <si>
    <t>WC071</t>
  </si>
  <si>
    <t>SC072</t>
  </si>
  <si>
    <t>II072</t>
  </si>
  <si>
    <t>WC072</t>
  </si>
  <si>
    <t>SC073</t>
  </si>
  <si>
    <t>II073</t>
  </si>
  <si>
    <t>WC073</t>
  </si>
  <si>
    <t>SC081</t>
  </si>
  <si>
    <t>II081</t>
  </si>
  <si>
    <t>WC081</t>
  </si>
  <si>
    <t>SC082</t>
  </si>
  <si>
    <t>II082</t>
  </si>
  <si>
    <t>WC082</t>
  </si>
  <si>
    <t>SC083</t>
  </si>
  <si>
    <t>II083</t>
  </si>
  <si>
    <t>WC083</t>
  </si>
  <si>
    <t>SC091</t>
  </si>
  <si>
    <t>II091</t>
  </si>
  <si>
    <t>WC091</t>
  </si>
  <si>
    <t>SC092</t>
  </si>
  <si>
    <t>II092</t>
  </si>
  <si>
    <t>WC092</t>
  </si>
  <si>
    <t>SC093</t>
  </si>
  <si>
    <t>II093</t>
  </si>
  <si>
    <t>WC093</t>
  </si>
  <si>
    <t>SC101</t>
  </si>
  <si>
    <t>II101</t>
  </si>
  <si>
    <t>WC101</t>
  </si>
  <si>
    <t>SC102</t>
  </si>
  <si>
    <t>II102</t>
  </si>
  <si>
    <t>WC102</t>
  </si>
  <si>
    <t>SC103</t>
  </si>
  <si>
    <t>II103</t>
  </si>
  <si>
    <t>WC103</t>
  </si>
  <si>
    <t>SC111</t>
  </si>
  <si>
    <t>II111</t>
  </si>
  <si>
    <t>WC111</t>
  </si>
  <si>
    <t>SC112</t>
  </si>
  <si>
    <t>II112</t>
  </si>
  <si>
    <t>WC112</t>
  </si>
  <si>
    <t>SC113</t>
  </si>
  <si>
    <t>II113</t>
  </si>
  <si>
    <t>WC113</t>
  </si>
  <si>
    <t>SC121</t>
  </si>
  <si>
    <t>II121</t>
  </si>
  <si>
    <t>WC121</t>
  </si>
  <si>
    <t>SC122</t>
  </si>
  <si>
    <t>II122</t>
  </si>
  <si>
    <t>WC122</t>
  </si>
  <si>
    <t>SC123</t>
  </si>
  <si>
    <t>II123</t>
  </si>
  <si>
    <t>WC123</t>
  </si>
  <si>
    <t>SC131</t>
  </si>
  <si>
    <t>II131</t>
  </si>
  <si>
    <t>WC131</t>
  </si>
  <si>
    <t>SC132</t>
  </si>
  <si>
    <t>II132</t>
  </si>
  <si>
    <t>WC132</t>
  </si>
  <si>
    <t>SC133</t>
  </si>
  <si>
    <t>II133</t>
  </si>
  <si>
    <t>WC133</t>
  </si>
  <si>
    <t>SC141</t>
  </si>
  <si>
    <t>II141</t>
  </si>
  <si>
    <t>WC141</t>
  </si>
  <si>
    <t>SC142</t>
  </si>
  <si>
    <t>II142</t>
  </si>
  <si>
    <t>WC142</t>
  </si>
  <si>
    <t>SC143</t>
  </si>
  <si>
    <t>II143</t>
  </si>
  <si>
    <t>WC143</t>
  </si>
  <si>
    <t>SC151</t>
  </si>
  <si>
    <t>II151</t>
  </si>
  <si>
    <t>WC151</t>
  </si>
  <si>
    <t>SC152</t>
  </si>
  <si>
    <t>II152</t>
  </si>
  <si>
    <t>WC152</t>
  </si>
  <si>
    <t>SC153</t>
  </si>
  <si>
    <t>II153</t>
  </si>
  <si>
    <t>WC153</t>
  </si>
  <si>
    <t>SC161</t>
  </si>
  <si>
    <t>II161</t>
  </si>
  <si>
    <t>WC161</t>
  </si>
  <si>
    <t>SC162</t>
  </si>
  <si>
    <t>II162</t>
  </si>
  <si>
    <t>WC162</t>
  </si>
  <si>
    <t>SC163</t>
  </si>
  <si>
    <t>II163</t>
  </si>
  <si>
    <t>WC163</t>
  </si>
  <si>
    <t>SC171</t>
  </si>
  <si>
    <t>II171</t>
  </si>
  <si>
    <t>WC171</t>
  </si>
  <si>
    <t>SC172</t>
  </si>
  <si>
    <t>II172</t>
  </si>
  <si>
    <t>WC172</t>
  </si>
  <si>
    <t>SC173</t>
  </si>
  <si>
    <t>II173</t>
  </si>
  <si>
    <t>WC173</t>
  </si>
  <si>
    <t>SC181</t>
  </si>
  <si>
    <t>II181</t>
  </si>
  <si>
    <t>WC181</t>
  </si>
  <si>
    <t>SC182</t>
  </si>
  <si>
    <t>II182</t>
  </si>
  <si>
    <t>WC182</t>
  </si>
  <si>
    <t>SC183</t>
  </si>
  <si>
    <t>II183</t>
  </si>
  <si>
    <t>WC183</t>
  </si>
  <si>
    <t>Shinning Sand</t>
  </si>
  <si>
    <t>H11 349  H 4.35 เคิฟ &lt;&lt; ปิ้น9 แรง 235.4  ไม้2</t>
  </si>
  <si>
    <t xml:space="preserve">H11  363 Hwi 6.7 แรง 293.5 ปิ้นหน้า 9 ยิงโท </t>
  </si>
  <si>
    <t>ExtarP1</t>
  </si>
  <si>
    <t>1W S9 BI</t>
  </si>
  <si>
    <t>Pw</t>
  </si>
  <si>
    <t>C</t>
  </si>
  <si>
    <t xml:space="preserve">H+F </t>
  </si>
  <si>
    <t>H2</t>
  </si>
  <si>
    <t>%+</t>
  </si>
  <si>
    <t>%-</t>
  </si>
  <si>
    <t>Wind</t>
  </si>
  <si>
    <t>ระยะ</t>
  </si>
  <si>
    <t>1W</t>
  </si>
  <si>
    <t>2W</t>
  </si>
  <si>
    <t>3W</t>
  </si>
  <si>
    <t>2I</t>
  </si>
  <si>
    <t>3I</t>
  </si>
  <si>
    <t>4I</t>
  </si>
  <si>
    <t>5I</t>
  </si>
  <si>
    <t>6I</t>
  </si>
  <si>
    <t>7I</t>
  </si>
  <si>
    <t>8I</t>
  </si>
  <si>
    <t>9I</t>
  </si>
  <si>
    <t>pi-pin</t>
  </si>
  <si>
    <t>Sem Ps</t>
  </si>
  <si>
    <t>1 Ps</t>
  </si>
  <si>
    <t>2 Ps</t>
  </si>
  <si>
    <t>Power Drive 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</si>
</sst>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87" formatCode="0.0000"/>
    <numFmt numFmtId="188" formatCode="0.00000"/>
    <numFmt numFmtId="189" formatCode="0.000000"/>
    <numFmt numFmtId="191" formatCode="0.000"/>
    <numFmt numFmtId="192" formatCode="0.0"/>
    <numFmt numFmtId="193" formatCode="0.000000000"/>
    <numFmt numFmtId="194" formatCode="[Red]\+0.00;[Blue]\-0.00"/>
    <numFmt numFmtId="195" formatCode="0.0000\ ;[Red]\-0.0000\ "/>
    <numFmt numFmtId="196" formatCode="_(&quot;R$ &quot;* #,##0.00_);_(&quot;R$ &quot;* \(#,##0.00\);_(&quot;R$ &quot;* &quot;-&quot;??_);_(@_)"/>
    <numFmt numFmtId="197" formatCode="_(* #,##0.00_);_(* \(#,##0.00\);_(* &quot;-&quot;??_);_(@_)"/>
    <numFmt numFmtId="198" formatCode="0.00_ "/>
    <numFmt numFmtId="199" formatCode="#,##0.00\ ;&quot; (&quot;#,##0.00\);&quot; -&quot;#\ ;@\ "/>
    <numFmt numFmtId="200" formatCode="&quot; R$ &quot;#,##0.00\ ;&quot; R$ (&quot;#,##0.00\);&quot; R$ -&quot;#\ ;@\ "/>
  </numFmts>
  <fonts count="92">
    <font>
      <sz val="10"/>
      <name val="Arial"/>
      <family val="2"/>
    </font>
    <font>
      <sz val="11"/>
      <color theme="1"/>
      <name val="Tahoma"/>
      <family val="2"/>
      <charset val="222"/>
      <scheme val="minor"/>
    </font>
    <font>
      <sz val="10"/>
      <name val="Arial"/>
    </font>
    <font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indexed="60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i/>
      <u/>
      <sz val="10"/>
      <name val="Arial"/>
      <family val="2"/>
    </font>
    <font>
      <sz val="10"/>
      <name val="Lucida Bright"/>
      <family val="1"/>
    </font>
    <font>
      <b/>
      <sz val="10"/>
      <name val="Lucida Bright"/>
      <family val="1"/>
    </font>
    <font>
      <b/>
      <sz val="10"/>
      <color indexed="12"/>
      <name val="Arial"/>
      <family val="2"/>
    </font>
    <font>
      <b/>
      <sz val="12"/>
      <name val="Arial"/>
      <family val="2"/>
    </font>
    <font>
      <sz val="11"/>
      <color indexed="8"/>
      <name val="맑은 고딕"/>
      <family val="3"/>
      <charset val="129"/>
    </font>
    <font>
      <sz val="11"/>
      <name val="Calibri"/>
      <family val="2"/>
    </font>
    <font>
      <sz val="10"/>
      <name val="ＭＳ Ｐゴシック"/>
      <family val="3"/>
    </font>
    <font>
      <sz val="11"/>
      <name val="Tahoma"/>
      <family val="2"/>
    </font>
    <font>
      <sz val="11"/>
      <name val="돋움"/>
      <family val="3"/>
      <charset val="129"/>
    </font>
    <font>
      <b/>
      <sz val="11"/>
      <name val="Arial"/>
      <family val="2"/>
    </font>
    <font>
      <sz val="11"/>
      <name val="Arial"/>
      <family val="2"/>
    </font>
    <font>
      <b/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/>
      <sz val="10"/>
      <name val="Arial"/>
      <family val="2"/>
    </font>
    <font>
      <b/>
      <i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11"/>
      <name val="Calibri"/>
      <family val="2"/>
    </font>
    <font>
      <b/>
      <i/>
      <sz val="11"/>
      <name val="Calibri"/>
      <family val="2"/>
    </font>
    <font>
      <sz val="16"/>
      <name val="Century Gothic"/>
      <family val="2"/>
    </font>
    <font>
      <sz val="10"/>
      <name val="Century Gothic"/>
      <family val="2"/>
    </font>
    <font>
      <sz val="11"/>
      <color theme="1"/>
      <name val="Tahoma"/>
      <family val="2"/>
      <scheme val="minor"/>
    </font>
    <font>
      <b/>
      <sz val="10"/>
      <color theme="1"/>
      <name val="Lucida Bright"/>
      <family val="1"/>
    </font>
    <font>
      <sz val="11"/>
      <color theme="1"/>
      <name val="Tahoma"/>
      <family val="2"/>
      <charset val="129"/>
      <scheme val="minor"/>
    </font>
    <font>
      <sz val="11"/>
      <color theme="1"/>
      <name val="Tahoma"/>
      <family val="3"/>
      <charset val="129"/>
      <scheme val="minor"/>
    </font>
    <font>
      <b/>
      <sz val="11"/>
      <color theme="0"/>
      <name val="Tahoma"/>
      <family val="2"/>
      <scheme val="minor"/>
    </font>
    <font>
      <sz val="10"/>
      <color rgb="FF00FF00"/>
      <name val="Arial"/>
      <family val="2"/>
    </font>
    <font>
      <b/>
      <sz val="11"/>
      <color theme="0"/>
      <name val="Arial"/>
      <family val="2"/>
    </font>
    <font>
      <sz val="11"/>
      <name val="Tahoma"/>
      <family val="2"/>
      <scheme val="minor"/>
    </font>
    <font>
      <sz val="10"/>
      <color theme="1"/>
      <name val="Lucida Bright"/>
      <family val="1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0" tint="-0.249977111117893"/>
      <name val="Arial"/>
      <family val="2"/>
    </font>
    <font>
      <sz val="10"/>
      <color rgb="FFFF0000"/>
      <name val="Arial"/>
      <family val="2"/>
    </font>
    <font>
      <b/>
      <sz val="11"/>
      <color rgb="FF00B0F0"/>
      <name val="Tahoma"/>
      <family val="2"/>
      <scheme val="minor"/>
    </font>
    <font>
      <sz val="10"/>
      <color rgb="FF00B0F0"/>
      <name val="Arial"/>
      <family val="2"/>
    </font>
    <font>
      <sz val="11"/>
      <color rgb="FF00B0F0"/>
      <name val="Tahoma"/>
      <family val="2"/>
      <scheme val="minor"/>
    </font>
    <font>
      <b/>
      <sz val="11"/>
      <color rgb="FFFF0000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rgb="FFFFC000"/>
      <name val="Tahoma"/>
      <family val="2"/>
      <scheme val="minor"/>
    </font>
    <font>
      <sz val="10"/>
      <color theme="1"/>
      <name val="Tahoma"/>
      <family val="2"/>
      <scheme val="minor"/>
    </font>
    <font>
      <b/>
      <i/>
      <sz val="11"/>
      <color theme="0"/>
      <name val="Tahoma"/>
      <family val="2"/>
      <scheme val="minor"/>
    </font>
    <font>
      <b/>
      <i/>
      <sz val="11"/>
      <color theme="1"/>
      <name val="Tahoma"/>
      <family val="2"/>
      <scheme val="minor"/>
    </font>
    <font>
      <b/>
      <sz val="11"/>
      <name val="Tahoma"/>
      <family val="2"/>
      <scheme val="minor"/>
    </font>
    <font>
      <sz val="10"/>
      <color theme="0"/>
      <name val="Arial"/>
      <family val="2"/>
    </font>
    <font>
      <sz val="11"/>
      <color theme="0"/>
      <name val="Tahoma"/>
      <family val="2"/>
      <scheme val="minor"/>
    </font>
    <font>
      <b/>
      <sz val="10"/>
      <color rgb="FFFF0000"/>
      <name val="Arial"/>
      <family val="2"/>
    </font>
    <font>
      <b/>
      <u/>
      <sz val="10"/>
      <color rgb="FFFF0000"/>
      <name val="Arial"/>
      <family val="2"/>
    </font>
    <font>
      <b/>
      <sz val="11"/>
      <color rgb="FF000714"/>
      <name val="Tahoma"/>
      <family val="2"/>
      <scheme val="minor"/>
    </font>
    <font>
      <sz val="11"/>
      <color rgb="FF000714"/>
      <name val="Tahoma"/>
      <family val="2"/>
      <scheme val="minor"/>
    </font>
    <font>
      <sz val="11"/>
      <color rgb="FFFF0000"/>
      <name val="Tahoma"/>
      <family val="2"/>
      <scheme val="minor"/>
    </font>
    <font>
      <b/>
      <i/>
      <sz val="11"/>
      <name val="Tahoma"/>
      <family val="2"/>
      <scheme val="minor"/>
    </font>
    <font>
      <b/>
      <i/>
      <sz val="11"/>
      <color indexed="8"/>
      <name val="Tahoma"/>
      <family val="2"/>
      <scheme val="minor"/>
    </font>
    <font>
      <i/>
      <sz val="11"/>
      <name val="Tahoma"/>
      <family val="2"/>
      <scheme val="minor"/>
    </font>
    <font>
      <b/>
      <sz val="10"/>
      <color rgb="FFC00000"/>
      <name val="Arial"/>
      <family val="2"/>
    </font>
    <font>
      <b/>
      <sz val="10"/>
      <color theme="0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ajor"/>
    </font>
    <font>
      <sz val="10"/>
      <color theme="1"/>
      <name val="Calibri"/>
      <family val="2"/>
    </font>
    <font>
      <i/>
      <u/>
      <sz val="10"/>
      <color theme="1"/>
      <name val="Tahoma"/>
      <family val="2"/>
      <scheme val="minor"/>
    </font>
    <font>
      <b/>
      <sz val="10"/>
      <color theme="0"/>
      <name val="Lucida Bright"/>
      <family val="1"/>
    </font>
    <font>
      <sz val="16"/>
      <color theme="1"/>
      <name val="Century Gothic"/>
      <family val="2"/>
    </font>
    <font>
      <b/>
      <i/>
      <sz val="11"/>
      <color indexed="57"/>
      <name val="Tahoma"/>
      <family val="2"/>
      <scheme val="minor"/>
    </font>
    <font>
      <b/>
      <i/>
      <sz val="11"/>
      <color indexed="60"/>
      <name val="Tahoma"/>
      <family val="2"/>
      <scheme val="minor"/>
    </font>
    <font>
      <b/>
      <i/>
      <sz val="11"/>
      <color indexed="44"/>
      <name val="Tahoma"/>
      <family val="2"/>
      <scheme val="minor"/>
    </font>
    <font>
      <b/>
      <i/>
      <sz val="11"/>
      <color rgb="FFCC00FF"/>
      <name val="Tahoma"/>
      <family val="2"/>
      <scheme val="minor"/>
    </font>
    <font>
      <b/>
      <i/>
      <sz val="11"/>
      <color rgb="FF00B050"/>
      <name val="Tahoma"/>
      <family val="2"/>
      <scheme val="minor"/>
    </font>
    <font>
      <b/>
      <i/>
      <sz val="11"/>
      <color rgb="FFFF66CC"/>
      <name val="Tahoma"/>
      <family val="2"/>
      <scheme val="minor"/>
    </font>
    <font>
      <b/>
      <i/>
      <sz val="11"/>
      <color indexed="49"/>
      <name val="Tahoma"/>
      <family val="2"/>
      <scheme val="minor"/>
    </font>
    <font>
      <b/>
      <i/>
      <sz val="11"/>
      <color theme="3" tint="-0.249977111117893"/>
      <name val="Tahoma"/>
      <family val="2"/>
      <scheme val="minor"/>
    </font>
    <font>
      <b/>
      <i/>
      <sz val="11"/>
      <color theme="7" tint="-0.249977111117893"/>
      <name val="Tahoma"/>
      <family val="2"/>
      <scheme val="minor"/>
    </font>
    <font>
      <b/>
      <i/>
      <sz val="11"/>
      <color indexed="56"/>
      <name val="Tahoma"/>
      <family val="2"/>
      <scheme val="minor"/>
    </font>
    <font>
      <b/>
      <i/>
      <sz val="11"/>
      <color indexed="62"/>
      <name val="Tahoma"/>
      <family val="2"/>
      <scheme val="minor"/>
    </font>
    <font>
      <b/>
      <i/>
      <sz val="11"/>
      <color indexed="36"/>
      <name val="Tahoma"/>
      <family val="2"/>
      <scheme val="minor"/>
    </font>
    <font>
      <b/>
      <i/>
      <sz val="11"/>
      <color indexed="53"/>
      <name val="Tahoma"/>
      <family val="2"/>
      <scheme val="minor"/>
    </font>
    <font>
      <b/>
      <i/>
      <sz val="11"/>
      <color indexed="10"/>
      <name val="Tahoma"/>
      <family val="2"/>
      <scheme val="minor"/>
    </font>
    <font>
      <b/>
      <i/>
      <sz val="11"/>
      <color rgb="FF33CC33"/>
      <name val="Tahoma"/>
      <family val="2"/>
      <scheme val="minor"/>
    </font>
    <font>
      <b/>
      <i/>
      <sz val="11"/>
      <color rgb="FF66FFFF"/>
      <name val="Tahoma"/>
      <family val="2"/>
      <scheme val="minor"/>
    </font>
  </fonts>
  <fills count="72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3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8"/>
        <bgColor indexed="58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57"/>
      </patternFill>
    </fill>
    <fill>
      <patternFill patternType="solid">
        <fgColor indexed="22"/>
        <bgColor indexed="24"/>
      </patternFill>
    </fill>
    <fill>
      <patternFill patternType="solid">
        <fgColor indexed="27"/>
        <bgColor indexed="42"/>
      </patternFill>
    </fill>
    <fill>
      <patternFill patternType="solid">
        <fgColor indexed="9"/>
        <bgColor indexed="41"/>
      </patternFill>
    </fill>
    <fill>
      <patternFill patternType="solid">
        <fgColor indexed="9"/>
        <bgColor indexed="34"/>
      </patternFill>
    </fill>
    <fill>
      <patternFill patternType="solid">
        <fgColor indexed="9"/>
        <bgColor indexed="21"/>
      </patternFill>
    </fill>
    <fill>
      <patternFill patternType="solid">
        <fgColor theme="9"/>
        <bgColor indexed="23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58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0"/>
      </patternFill>
    </fill>
    <fill>
      <patternFill patternType="solid">
        <fgColor theme="4" tint="0.39997558519241921"/>
        <bgColor indexed="60"/>
      </patternFill>
    </fill>
    <fill>
      <patternFill patternType="solid">
        <fgColor theme="0" tint="-0.249977111117893"/>
        <bgColor indexed="60"/>
      </patternFill>
    </fill>
    <fill>
      <patternFill patternType="solid">
        <fgColor theme="0" tint="-0.14999847407452621"/>
        <bgColor indexed="60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D17DC5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rgb="FFFFFF00"/>
        <bgColor indexed="26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26"/>
      </patternFill>
    </fill>
    <fill>
      <patternFill patternType="solid">
        <fgColor theme="9" tint="-0.249977111117893"/>
        <bgColor indexed="64"/>
      </patternFill>
    </fill>
    <fill>
      <gradientFill type="path" left="0.5" right="0.5" top="0.5" bottom="0.5">
        <stop position="0">
          <color theme="1" tint="0.49803155613879818"/>
        </stop>
        <stop position="1">
          <color theme="1" tint="5.0965910824915313E-2"/>
        </stop>
      </gradientFill>
    </fill>
    <fill>
      <gradientFill type="path" left="0.5" right="0.5" top="0.5" bottom="0.5">
        <stop position="0">
          <color theme="1" tint="0.49803155613879818"/>
        </stop>
        <stop position="1">
          <color theme="1" tint="0.25098422193060094"/>
        </stop>
      </gradientFill>
    </fill>
    <fill>
      <patternFill patternType="solid">
        <fgColor theme="8"/>
        <bgColor indexed="64"/>
      </patternFill>
    </fill>
  </fills>
  <borders count="157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ck">
        <color indexed="49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/>
      <right style="medium">
        <color indexed="8"/>
      </right>
      <top style="medium">
        <color indexed="8"/>
      </top>
      <bottom style="medium">
        <color indexed="64"/>
      </bottom>
      <diagonal/>
    </border>
    <border>
      <left/>
      <right style="medium">
        <color indexed="64"/>
      </right>
      <top style="medium">
        <color indexed="8"/>
      </top>
      <bottom style="medium">
        <color indexed="8"/>
      </bottom>
      <diagonal/>
    </border>
    <border>
      <left/>
      <right style="medium">
        <color indexed="64"/>
      </right>
      <top style="medium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8"/>
      </top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 style="medium">
        <color indexed="64"/>
      </right>
      <top/>
      <bottom style="medium">
        <color indexed="8"/>
      </bottom>
      <diagonal/>
    </border>
    <border>
      <left style="medium">
        <color indexed="64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/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8"/>
      </top>
      <bottom/>
      <diagonal/>
    </border>
    <border>
      <left style="medium">
        <color indexed="8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8"/>
      </right>
      <top/>
      <bottom style="medium">
        <color indexed="64"/>
      </bottom>
      <diagonal/>
    </border>
    <border>
      <left style="medium">
        <color indexed="64"/>
      </left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64"/>
      </bottom>
      <diagonal/>
    </border>
    <border>
      <left/>
      <right style="medium">
        <color indexed="64"/>
      </right>
      <top style="medium">
        <color indexed="8"/>
      </top>
      <bottom/>
      <diagonal/>
    </border>
    <border>
      <left style="medium">
        <color indexed="64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64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/>
      <bottom style="medium">
        <color indexed="64"/>
      </bottom>
      <diagonal/>
    </border>
    <border>
      <left style="thick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medium">
        <color indexed="64"/>
      </left>
      <right style="medium">
        <color indexed="8"/>
      </right>
      <top style="medium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8"/>
      </left>
      <right/>
      <top style="medium">
        <color indexed="64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8"/>
      </bottom>
      <diagonal/>
    </border>
    <border>
      <left/>
      <right style="medium">
        <color indexed="64"/>
      </right>
      <top/>
      <bottom style="medium">
        <color indexed="8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 tint="-0.249977111117893"/>
      </left>
      <right style="medium">
        <color indexed="64"/>
      </right>
      <top/>
      <bottom/>
      <diagonal/>
    </border>
    <border>
      <left style="thin">
        <color theme="0" tint="-0.249977111117893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2" tint="-0.24994659260841701"/>
      </left>
      <right style="medium">
        <color theme="2" tint="-0.24994659260841701"/>
      </right>
      <top style="medium">
        <color theme="2" tint="-0.24994659260841701"/>
      </top>
      <bottom style="medium">
        <color theme="2" tint="-0.2499465926084170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medium">
        <color indexed="8"/>
      </top>
      <bottom style="medium">
        <color indexed="64"/>
      </bottom>
      <diagonal/>
    </border>
    <border>
      <left/>
      <right/>
      <top/>
      <bottom style="thin">
        <color rgb="FFFFFF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8"/>
      </bottom>
      <diagonal/>
    </border>
  </borders>
  <cellStyleXfs count="74">
    <xf numFmtId="0" fontId="0" fillId="0" borderId="0">
      <alignment vertical="center"/>
    </xf>
    <xf numFmtId="0" fontId="3" fillId="2" borderId="0" applyNumberFormat="0" applyBorder="0" applyProtection="0">
      <alignment vertical="center"/>
    </xf>
    <xf numFmtId="0" fontId="4" fillId="5" borderId="1" applyNumberFormat="0" applyProtection="0">
      <alignment vertical="center"/>
    </xf>
    <xf numFmtId="199" fontId="3" fillId="0" borderId="0"/>
    <xf numFmtId="20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/>
    <xf numFmtId="196" fontId="9" fillId="0" borderId="0" applyFont="0" applyFill="0" applyBorder="0" applyAlignment="0" applyProtection="0"/>
    <xf numFmtId="0" fontId="2" fillId="0" borderId="0"/>
    <xf numFmtId="0" fontId="9" fillId="0" borderId="0"/>
    <xf numFmtId="0" fontId="9" fillId="0" borderId="0"/>
    <xf numFmtId="0" fontId="33" fillId="0" borderId="0"/>
    <xf numFmtId="0" fontId="33" fillId="0" borderId="0"/>
    <xf numFmtId="0" fontId="33" fillId="0" borderId="0"/>
    <xf numFmtId="0" fontId="9" fillId="0" borderId="0"/>
    <xf numFmtId="0" fontId="18" fillId="0" borderId="0"/>
    <xf numFmtId="0" fontId="9" fillId="0" borderId="0"/>
    <xf numFmtId="0" fontId="1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20" fillId="0" borderId="0">
      <alignment vertical="center"/>
    </xf>
    <xf numFmtId="0" fontId="9" fillId="0" borderId="0"/>
    <xf numFmtId="0" fontId="9" fillId="0" borderId="0"/>
    <xf numFmtId="0" fontId="3" fillId="0" borderId="0"/>
    <xf numFmtId="0" fontId="33" fillId="0" borderId="0"/>
    <xf numFmtId="0" fontId="9" fillId="0" borderId="0"/>
    <xf numFmtId="197" fontId="9" fillId="0" borderId="0" applyFill="0" applyBorder="0" applyAlignment="0" applyProtection="0"/>
    <xf numFmtId="197" fontId="9" fillId="0" borderId="0" applyFill="0" applyBorder="0" applyAlignment="0" applyProtection="0"/>
    <xf numFmtId="197" fontId="9" fillId="0" borderId="0" applyFont="0" applyFill="0" applyBorder="0" applyAlignment="0" applyProtection="0"/>
    <xf numFmtId="0" fontId="34" fillId="14" borderId="2" applyFont="0" applyFill="0" applyAlignment="0" applyProtection="0">
      <alignment horizontal="center" vertical="center"/>
    </xf>
    <xf numFmtId="0" fontId="7" fillId="0" borderId="3" applyNumberFormat="0" applyFill="0" applyProtection="0">
      <alignment vertical="center"/>
    </xf>
    <xf numFmtId="0" fontId="6" fillId="0" borderId="0" applyNumberFormat="0" applyFill="0" applyBorder="0" applyProtection="0">
      <alignment vertical="center"/>
    </xf>
    <xf numFmtId="0" fontId="6" fillId="0" borderId="0" applyNumberFormat="0" applyFill="0" applyBorder="0" applyProtection="0">
      <alignment vertical="center"/>
    </xf>
    <xf numFmtId="0" fontId="6" fillId="0" borderId="0" applyNumberFormat="0" applyFill="0" applyBorder="0" applyProtection="0">
      <alignment vertical="center"/>
    </xf>
    <xf numFmtId="0" fontId="7" fillId="0" borderId="3" applyNumberFormat="0" applyFill="0" applyProtection="0">
      <alignment vertical="center"/>
    </xf>
    <xf numFmtId="0" fontId="5" fillId="3" borderId="0" applyNumberFormat="0" applyBorder="0" applyProtection="0">
      <alignment vertical="center"/>
    </xf>
    <xf numFmtId="9" fontId="2" fillId="0" borderId="0" applyFill="0" applyBorder="0" applyAlignment="0" applyProtection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6" fillId="0" borderId="0">
      <alignment vertical="center"/>
    </xf>
    <xf numFmtId="0" fontId="20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5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6" fillId="0" borderId="0">
      <alignment vertical="center"/>
    </xf>
  </cellStyleXfs>
  <cellXfs count="1062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NumberFormat="1" applyFont="1" applyFill="1" applyBorder="1" applyAlignment="1" applyProtection="1">
      <alignment horizontal="center"/>
    </xf>
    <xf numFmtId="2" fontId="0" fillId="0" borderId="0" xfId="0" applyNumberFormat="1" applyFont="1" applyFill="1" applyBorder="1" applyAlignment="1" applyProtection="1">
      <alignment horizontal="center"/>
    </xf>
    <xf numFmtId="0" fontId="0" fillId="6" borderId="0" xfId="0" applyNumberFormat="1" applyFont="1" applyFill="1" applyBorder="1" applyAlignment="1" applyProtection="1">
      <alignment horizontal="center"/>
    </xf>
    <xf numFmtId="0" fontId="0" fillId="0" borderId="0" xfId="0" applyAlignment="1"/>
    <xf numFmtId="0" fontId="0" fillId="15" borderId="0" xfId="0" applyFill="1">
      <alignment vertical="center"/>
    </xf>
    <xf numFmtId="9" fontId="0" fillId="0" borderId="4" xfId="0" applyNumberFormat="1" applyBorder="1" applyAlignment="1"/>
    <xf numFmtId="0" fontId="0" fillId="0" borderId="5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91" fontId="0" fillId="0" borderId="7" xfId="0" applyNumberFormat="1" applyBorder="1" applyAlignment="1">
      <alignment horizontal="center"/>
    </xf>
    <xf numFmtId="0" fontId="0" fillId="0" borderId="6" xfId="0" applyBorder="1" applyAlignment="1"/>
    <xf numFmtId="0" fontId="0" fillId="0" borderId="7" xfId="0" applyFill="1" applyBorder="1" applyAlignment="1">
      <alignment horizontal="center"/>
    </xf>
    <xf numFmtId="0" fontId="0" fillId="0" borderId="0" xfId="0" applyBorder="1" applyAlignment="1"/>
    <xf numFmtId="0" fontId="0" fillId="0" borderId="8" xfId="0" applyBorder="1" applyAlignment="1">
      <alignment horizontal="center"/>
    </xf>
    <xf numFmtId="191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4" borderId="8" xfId="0" applyFont="1" applyFill="1" applyBorder="1" applyAlignment="1">
      <alignment horizontal="center"/>
    </xf>
    <xf numFmtId="191" fontId="0" fillId="4" borderId="9" xfId="0" applyNumberForma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4" borderId="10" xfId="0" applyFont="1" applyFill="1" applyBorder="1" applyAlignment="1">
      <alignment horizontal="center"/>
    </xf>
    <xf numFmtId="191" fontId="0" fillId="4" borderId="11" xfId="0" applyNumberForma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0" borderId="7" xfId="0" applyBorder="1" applyAlignment="1"/>
    <xf numFmtId="0" fontId="0" fillId="0" borderId="11" xfId="0" applyBorder="1" applyAlignment="1">
      <alignment horizontal="center"/>
    </xf>
    <xf numFmtId="0" fontId="0" fillId="0" borderId="10" xfId="0" applyBorder="1" applyAlignment="1"/>
    <xf numFmtId="0" fontId="0" fillId="0" borderId="11" xfId="0" applyBorder="1" applyAlignment="1"/>
    <xf numFmtId="0" fontId="0" fillId="4" borderId="6" xfId="0" applyFont="1" applyFill="1" applyBorder="1" applyAlignment="1">
      <alignment horizontal="center"/>
    </xf>
    <xf numFmtId="2" fontId="0" fillId="4" borderId="7" xfId="0" applyNumberFormat="1" applyFill="1" applyBorder="1" applyAlignment="1"/>
    <xf numFmtId="2" fontId="0" fillId="4" borderId="11" xfId="0" applyNumberFormat="1" applyFill="1" applyBorder="1" applyAlignment="1"/>
    <xf numFmtId="0" fontId="11" fillId="0" borderId="0" xfId="0" applyFont="1" applyAlignment="1">
      <alignment horizontal="center"/>
    </xf>
    <xf numFmtId="9" fontId="0" fillId="0" borderId="4" xfId="0" applyNumberFormat="1" applyBorder="1" applyAlignment="1">
      <alignment horizontal="center"/>
    </xf>
    <xf numFmtId="0" fontId="0" fillId="16" borderId="0" xfId="0" applyNumberFormat="1" applyFont="1" applyFill="1" applyBorder="1" applyAlignment="1" applyProtection="1">
      <alignment horizontal="center"/>
    </xf>
    <xf numFmtId="0" fontId="0" fillId="15" borderId="0" xfId="0" applyFont="1" applyFill="1">
      <alignment vertical="center"/>
    </xf>
    <xf numFmtId="9" fontId="0" fillId="0" borderId="7" xfId="0" applyNumberFormat="1" applyBorder="1" applyAlignment="1"/>
    <xf numFmtId="0" fontId="0" fillId="0" borderId="12" xfId="0" applyBorder="1" applyAlignment="1"/>
    <xf numFmtId="0" fontId="9" fillId="0" borderId="13" xfId="0" applyFont="1" applyFill="1" applyBorder="1" applyAlignment="1"/>
    <xf numFmtId="0" fontId="0" fillId="0" borderId="14" xfId="0" applyBorder="1" applyAlignment="1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17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2" fontId="0" fillId="17" borderId="15" xfId="0" applyNumberFormat="1" applyFill="1" applyBorder="1" applyAlignment="1">
      <alignment horizontal="center" vertical="center"/>
    </xf>
    <xf numFmtId="2" fontId="0" fillId="18" borderId="15" xfId="0" applyNumberFormat="1" applyFill="1" applyBorder="1" applyAlignment="1">
      <alignment horizontal="center" vertical="center"/>
    </xf>
    <xf numFmtId="0" fontId="0" fillId="0" borderId="15" xfId="0" applyFont="1" applyBorder="1" applyAlignment="1">
      <alignment horizontal="center"/>
    </xf>
    <xf numFmtId="191" fontId="0" fillId="0" borderId="15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17" borderId="17" xfId="0" applyFill="1" applyBorder="1" applyAlignment="1">
      <alignment horizontal="center" vertical="center"/>
    </xf>
    <xf numFmtId="0" fontId="0" fillId="18" borderId="17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37" fillId="19" borderId="19" xfId="0" applyFont="1" applyFill="1" applyBorder="1" applyAlignment="1">
      <alignment horizontal="center"/>
    </xf>
    <xf numFmtId="0" fontId="9" fillId="0" borderId="0" xfId="0" applyFont="1" applyAlignment="1"/>
    <xf numFmtId="10" fontId="0" fillId="17" borderId="19" xfId="0" applyNumberFormat="1" applyFill="1" applyBorder="1" applyAlignment="1"/>
    <xf numFmtId="0" fontId="0" fillId="0" borderId="19" xfId="0" applyBorder="1" applyAlignment="1">
      <alignment horizontal="center"/>
    </xf>
    <xf numFmtId="0" fontId="0" fillId="17" borderId="19" xfId="0" applyFill="1" applyBorder="1" applyAlignment="1">
      <alignment horizontal="center"/>
    </xf>
    <xf numFmtId="0" fontId="0" fillId="0" borderId="20" xfId="0" applyFont="1" applyBorder="1" applyAlignment="1">
      <alignment horizontal="center"/>
    </xf>
    <xf numFmtId="191" fontId="0" fillId="0" borderId="20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9" fontId="38" fillId="0" borderId="21" xfId="0" applyNumberFormat="1" applyFont="1" applyBorder="1" applyAlignment="1">
      <alignment horizontal="center"/>
    </xf>
    <xf numFmtId="0" fontId="0" fillId="0" borderId="21" xfId="0" applyFill="1" applyBorder="1" applyAlignment="1">
      <alignment horizontal="center"/>
    </xf>
    <xf numFmtId="9" fontId="38" fillId="0" borderId="21" xfId="0" applyNumberFormat="1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18" borderId="17" xfId="0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91" fontId="0" fillId="0" borderId="0" xfId="0" applyNumberFormat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17" borderId="19" xfId="0" applyFill="1" applyBorder="1" applyAlignment="1">
      <alignment horizontal="center" vertical="center"/>
    </xf>
    <xf numFmtId="0" fontId="39" fillId="15" borderId="143" xfId="0" applyFont="1" applyFill="1" applyBorder="1" applyAlignment="1" applyProtection="1">
      <alignment horizontal="center" vertical="center" wrapText="1"/>
      <protection hidden="1"/>
    </xf>
    <xf numFmtId="0" fontId="39" fillId="15" borderId="143" xfId="0" applyFont="1" applyFill="1" applyBorder="1" applyAlignment="1" applyProtection="1">
      <alignment horizontal="center" vertical="center"/>
      <protection hidden="1"/>
    </xf>
    <xf numFmtId="0" fontId="39" fillId="15" borderId="143" xfId="0" applyFont="1" applyFill="1" applyBorder="1" applyAlignment="1" applyProtection="1">
      <alignment horizontal="center" vertical="center"/>
      <protection locked="0" hidden="1"/>
    </xf>
    <xf numFmtId="0" fontId="0" fillId="0" borderId="0" xfId="0" applyFont="1" applyAlignment="1">
      <alignment horizontal="center" vertical="center"/>
    </xf>
    <xf numFmtId="0" fontId="0" fillId="20" borderId="19" xfId="0" applyFill="1" applyBorder="1" applyAlignment="1">
      <alignment horizontal="center"/>
    </xf>
    <xf numFmtId="0" fontId="0" fillId="0" borderId="19" xfId="0" applyFon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0" fontId="40" fillId="0" borderId="0" xfId="0" applyFont="1">
      <alignment vertical="center"/>
    </xf>
    <xf numFmtId="0" fontId="0" fillId="0" borderId="16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2" xfId="0" applyBorder="1" applyAlignment="1"/>
    <xf numFmtId="0" fontId="0" fillId="0" borderId="23" xfId="0" applyBorder="1" applyAlignment="1">
      <alignment horizontal="center"/>
    </xf>
    <xf numFmtId="0" fontId="0" fillId="0" borderId="0" xfId="0" applyBorder="1">
      <alignment vertical="center"/>
    </xf>
    <xf numFmtId="0" fontId="2" fillId="0" borderId="0" xfId="11" applyAlignment="1">
      <alignment horizontal="center"/>
    </xf>
    <xf numFmtId="0" fontId="2" fillId="0" borderId="19" xfId="11" applyBorder="1" applyAlignment="1">
      <alignment horizontal="center"/>
    </xf>
    <xf numFmtId="0" fontId="2" fillId="0" borderId="24" xfId="11" applyBorder="1" applyAlignment="1">
      <alignment horizontal="center"/>
    </xf>
    <xf numFmtId="0" fontId="2" fillId="0" borderId="25" xfId="11" applyBorder="1" applyAlignment="1">
      <alignment horizontal="center"/>
    </xf>
    <xf numFmtId="0" fontId="2" fillId="0" borderId="26" xfId="11" applyBorder="1" applyAlignment="1">
      <alignment horizontal="center"/>
    </xf>
    <xf numFmtId="0" fontId="2" fillId="8" borderId="27" xfId="11" applyFill="1" applyBorder="1" applyAlignment="1">
      <alignment horizontal="center"/>
    </xf>
    <xf numFmtId="0" fontId="2" fillId="8" borderId="28" xfId="11" applyFill="1" applyBorder="1" applyAlignment="1">
      <alignment horizontal="center"/>
    </xf>
    <xf numFmtId="0" fontId="2" fillId="8" borderId="29" xfId="11" applyFont="1" applyFill="1" applyBorder="1" applyAlignment="1">
      <alignment horizontal="center"/>
    </xf>
    <xf numFmtId="0" fontId="12" fillId="0" borderId="30" xfId="11" applyFont="1" applyBorder="1" applyAlignment="1">
      <alignment horizontal="center" vertical="center"/>
    </xf>
    <xf numFmtId="194" fontId="41" fillId="20" borderId="31" xfId="11" applyNumberFormat="1" applyFont="1" applyFill="1" applyBorder="1" applyAlignment="1">
      <alignment horizontal="center" vertical="center"/>
    </xf>
    <xf numFmtId="0" fontId="2" fillId="0" borderId="32" xfId="11" applyBorder="1" applyAlignment="1">
      <alignment horizontal="center"/>
    </xf>
    <xf numFmtId="0" fontId="12" fillId="20" borderId="31" xfId="11" applyFont="1" applyFill="1" applyBorder="1" applyAlignment="1">
      <alignment horizontal="center" vertical="center"/>
    </xf>
    <xf numFmtId="2" fontId="12" fillId="20" borderId="31" xfId="11" applyNumberFormat="1" applyFont="1" applyFill="1" applyBorder="1" applyAlignment="1">
      <alignment horizontal="center" vertical="center"/>
    </xf>
    <xf numFmtId="0" fontId="2" fillId="21" borderId="33" xfId="11" applyFill="1" applyBorder="1" applyAlignment="1">
      <alignment horizontal="center"/>
    </xf>
    <xf numFmtId="0" fontId="2" fillId="21" borderId="34" xfId="11" applyFill="1" applyBorder="1" applyAlignment="1">
      <alignment horizontal="center"/>
    </xf>
    <xf numFmtId="0" fontId="2" fillId="21" borderId="35" xfId="11" applyFill="1" applyBorder="1" applyAlignment="1">
      <alignment horizontal="center"/>
    </xf>
    <xf numFmtId="0" fontId="2" fillId="0" borderId="36" xfId="11" applyBorder="1" applyAlignment="1">
      <alignment horizontal="center"/>
    </xf>
    <xf numFmtId="0" fontId="13" fillId="22" borderId="30" xfId="11" applyFont="1" applyFill="1" applyBorder="1" applyAlignment="1">
      <alignment horizontal="center" vertical="center"/>
    </xf>
    <xf numFmtId="0" fontId="2" fillId="0" borderId="37" xfId="11" applyFont="1" applyBorder="1" applyAlignment="1">
      <alignment horizontal="center"/>
    </xf>
    <xf numFmtId="0" fontId="2" fillId="0" borderId="19" xfId="11" applyFill="1" applyBorder="1" applyAlignment="1">
      <alignment horizontal="center"/>
    </xf>
    <xf numFmtId="0" fontId="13" fillId="22" borderId="38" xfId="11" applyFont="1" applyFill="1" applyBorder="1" applyAlignment="1">
      <alignment horizontal="center" vertical="center"/>
    </xf>
    <xf numFmtId="0" fontId="2" fillId="0" borderId="39" xfId="11" applyBorder="1" applyAlignment="1">
      <alignment horizontal="center"/>
    </xf>
    <xf numFmtId="0" fontId="2" fillId="0" borderId="17" xfId="11" applyBorder="1" applyAlignment="1">
      <alignment horizontal="center"/>
    </xf>
    <xf numFmtId="195" fontId="14" fillId="0" borderId="19" xfId="11" applyNumberFormat="1" applyFont="1" applyFill="1" applyBorder="1" applyAlignment="1">
      <alignment horizontal="center"/>
    </xf>
    <xf numFmtId="0" fontId="2" fillId="0" borderId="28" xfId="11" applyFont="1" applyBorder="1" applyAlignment="1">
      <alignment horizontal="center"/>
    </xf>
    <xf numFmtId="187" fontId="2" fillId="0" borderId="19" xfId="11" applyNumberFormat="1" applyBorder="1" applyAlignment="1">
      <alignment horizontal="center"/>
    </xf>
    <xf numFmtId="0" fontId="2" fillId="0" borderId="27" xfId="11" applyBorder="1" applyAlignment="1">
      <alignment horizontal="center"/>
    </xf>
    <xf numFmtId="0" fontId="2" fillId="0" borderId="29" xfId="11" applyBorder="1" applyAlignment="1">
      <alignment horizontal="center"/>
    </xf>
    <xf numFmtId="0" fontId="2" fillId="8" borderId="40" xfId="11" applyFont="1" applyFill="1" applyBorder="1" applyAlignment="1">
      <alignment horizontal="center"/>
    </xf>
    <xf numFmtId="0" fontId="2" fillId="8" borderId="41" xfId="11" applyFont="1" applyFill="1" applyBorder="1" applyAlignment="1">
      <alignment horizontal="center"/>
    </xf>
    <xf numFmtId="0" fontId="2" fillId="8" borderId="42" xfId="11" applyFont="1" applyFill="1" applyBorder="1" applyAlignment="1">
      <alignment horizontal="center"/>
    </xf>
    <xf numFmtId="0" fontId="2" fillId="0" borderId="43" xfId="11" applyBorder="1" applyAlignment="1">
      <alignment horizontal="center"/>
    </xf>
    <xf numFmtId="0" fontId="2" fillId="8" borderId="27" xfId="11" applyFill="1" applyBorder="1" applyAlignment="1"/>
    <xf numFmtId="0" fontId="2" fillId="8" borderId="28" xfId="11" applyFill="1" applyBorder="1" applyAlignment="1"/>
    <xf numFmtId="0" fontId="2" fillId="8" borderId="29" xfId="11" applyFill="1" applyBorder="1" applyAlignment="1"/>
    <xf numFmtId="0" fontId="2" fillId="0" borderId="44" xfId="11" applyBorder="1" applyAlignment="1">
      <alignment horizontal="center"/>
    </xf>
    <xf numFmtId="0" fontId="2" fillId="0" borderId="44" xfId="11" applyBorder="1" applyAlignment="1"/>
    <xf numFmtId="191" fontId="2" fillId="0" borderId="19" xfId="11" applyNumberFormat="1" applyBorder="1" applyAlignment="1">
      <alignment horizontal="center"/>
    </xf>
    <xf numFmtId="0" fontId="2" fillId="8" borderId="19" xfId="11" applyFill="1" applyBorder="1" applyAlignment="1">
      <alignment horizontal="center"/>
    </xf>
    <xf numFmtId="0" fontId="2" fillId="0" borderId="19" xfId="11" applyFont="1" applyBorder="1" applyAlignment="1">
      <alignment horizontal="center"/>
    </xf>
    <xf numFmtId="0" fontId="2" fillId="0" borderId="45" xfId="11" applyBorder="1" applyAlignment="1">
      <alignment horizontal="center"/>
    </xf>
    <xf numFmtId="0" fontId="2" fillId="0" borderId="46" xfId="11" applyFont="1" applyBorder="1" applyAlignment="1">
      <alignment horizontal="center"/>
    </xf>
    <xf numFmtId="0" fontId="2" fillId="0" borderId="47" xfId="11" applyBorder="1" applyAlignment="1">
      <alignment horizontal="center"/>
    </xf>
    <xf numFmtId="0" fontId="2" fillId="0" borderId="48" xfId="11" applyFont="1" applyBorder="1" applyAlignment="1">
      <alignment horizontal="center"/>
    </xf>
    <xf numFmtId="0" fontId="2" fillId="0" borderId="49" xfId="11" applyFont="1" applyBorder="1" applyAlignment="1">
      <alignment horizontal="center"/>
    </xf>
    <xf numFmtId="0" fontId="2" fillId="23" borderId="50" xfId="11" applyFill="1" applyBorder="1" applyAlignment="1">
      <alignment horizontal="center"/>
    </xf>
    <xf numFmtId="0" fontId="2" fillId="0" borderId="51" xfId="11" applyBorder="1" applyAlignment="1">
      <alignment horizontal="center"/>
    </xf>
    <xf numFmtId="0" fontId="2" fillId="0" borderId="52" xfId="11" applyBorder="1" applyAlignment="1">
      <alignment horizontal="center"/>
    </xf>
    <xf numFmtId="0" fontId="2" fillId="0" borderId="53" xfId="11" applyBorder="1" applyAlignment="1">
      <alignment horizontal="center"/>
    </xf>
    <xf numFmtId="0" fontId="2" fillId="23" borderId="54" xfId="11" applyFill="1" applyBorder="1" applyAlignment="1">
      <alignment horizontal="center"/>
    </xf>
    <xf numFmtId="0" fontId="2" fillId="0" borderId="40" xfId="11" applyFont="1" applyBorder="1" applyAlignment="1">
      <alignment horizontal="center"/>
    </xf>
    <xf numFmtId="0" fontId="2" fillId="0" borderId="41" xfId="11" applyFont="1" applyBorder="1" applyAlignment="1">
      <alignment horizontal="center"/>
    </xf>
    <xf numFmtId="0" fontId="2" fillId="0" borderId="42" xfId="11" applyFont="1" applyBorder="1" applyAlignment="1">
      <alignment horizontal="center"/>
    </xf>
    <xf numFmtId="0" fontId="2" fillId="0" borderId="55" xfId="11" applyFont="1" applyBorder="1" applyAlignment="1">
      <alignment horizontal="center"/>
    </xf>
    <xf numFmtId="0" fontId="2" fillId="0" borderId="56" xfId="11" applyFont="1" applyBorder="1" applyAlignment="1">
      <alignment horizontal="center"/>
    </xf>
    <xf numFmtId="0" fontId="2" fillId="0" borderId="34" xfId="11" applyBorder="1" applyAlignment="1">
      <alignment horizontal="center"/>
    </xf>
    <xf numFmtId="0" fontId="2" fillId="0" borderId="35" xfId="11" applyBorder="1" applyAlignment="1">
      <alignment horizontal="center"/>
    </xf>
    <xf numFmtId="0" fontId="2" fillId="0" borderId="57" xfId="11" applyFont="1" applyBorder="1" applyAlignment="1">
      <alignment horizontal="center"/>
    </xf>
    <xf numFmtId="0" fontId="2" fillId="0" borderId="58" xfId="11" applyFont="1" applyBorder="1" applyAlignment="1">
      <alignment horizontal="center"/>
    </xf>
    <xf numFmtId="0" fontId="2" fillId="0" borderId="59" xfId="11" applyFont="1" applyBorder="1" applyAlignment="1">
      <alignment horizontal="center"/>
    </xf>
    <xf numFmtId="0" fontId="2" fillId="0" borderId="60" xfId="11" applyBorder="1" applyAlignment="1">
      <alignment horizontal="center"/>
    </xf>
    <xf numFmtId="0" fontId="2" fillId="9" borderId="0" xfId="11" applyFill="1" applyBorder="1" applyAlignment="1">
      <alignment horizontal="center"/>
    </xf>
    <xf numFmtId="187" fontId="2" fillId="0" borderId="61" xfId="11" applyNumberFormat="1" applyBorder="1" applyAlignment="1">
      <alignment horizontal="center"/>
    </xf>
    <xf numFmtId="187" fontId="2" fillId="0" borderId="46" xfId="11" applyNumberFormat="1" applyFont="1" applyBorder="1" applyAlignment="1">
      <alignment horizontal="center"/>
    </xf>
    <xf numFmtId="0" fontId="2" fillId="10" borderId="52" xfId="11" applyFill="1" applyBorder="1" applyAlignment="1">
      <alignment horizontal="center"/>
    </xf>
    <xf numFmtId="0" fontId="2" fillId="0" borderId="61" xfId="11" applyFont="1" applyBorder="1" applyAlignment="1">
      <alignment horizontal="center"/>
    </xf>
    <xf numFmtId="0" fontId="2" fillId="9" borderId="62" xfId="11" applyFill="1" applyBorder="1" applyAlignment="1">
      <alignment horizontal="center"/>
    </xf>
    <xf numFmtId="0" fontId="2" fillId="9" borderId="11" xfId="11" applyFill="1" applyBorder="1" applyAlignment="1">
      <alignment horizontal="center"/>
    </xf>
    <xf numFmtId="0" fontId="2" fillId="0" borderId="60" xfId="11" applyBorder="1" applyAlignment="1"/>
    <xf numFmtId="0" fontId="2" fillId="9" borderId="62" xfId="11" applyFill="1" applyBorder="1" applyAlignment="1"/>
    <xf numFmtId="0" fontId="10" fillId="0" borderId="63" xfId="19" applyFont="1" applyFill="1" applyBorder="1" applyAlignment="1">
      <alignment horizontal="center"/>
    </xf>
    <xf numFmtId="0" fontId="0" fillId="0" borderId="0" xfId="19" applyFont="1" applyFill="1" applyBorder="1"/>
    <xf numFmtId="0" fontId="0" fillId="0" borderId="0" xfId="19" applyFont="1"/>
    <xf numFmtId="0" fontId="37" fillId="19" borderId="19" xfId="19" applyFont="1" applyFill="1" applyBorder="1" applyAlignment="1">
      <alignment horizontal="center"/>
    </xf>
    <xf numFmtId="0" fontId="0" fillId="0" borderId="64" xfId="19" applyFont="1" applyFill="1" applyBorder="1"/>
    <xf numFmtId="0" fontId="9" fillId="0" borderId="0" xfId="19" applyFont="1"/>
    <xf numFmtId="0" fontId="9" fillId="0" borderId="19" xfId="19" applyFont="1" applyBorder="1" applyAlignment="1">
      <alignment horizontal="center"/>
    </xf>
    <xf numFmtId="0" fontId="9" fillId="17" borderId="19" xfId="19" applyFont="1" applyFill="1" applyBorder="1" applyAlignment="1">
      <alignment horizontal="center"/>
    </xf>
    <xf numFmtId="10" fontId="9" fillId="17" borderId="19" xfId="19" applyNumberFormat="1" applyFont="1" applyFill="1" applyBorder="1"/>
    <xf numFmtId="192" fontId="0" fillId="0" borderId="19" xfId="19" applyNumberFormat="1" applyFont="1" applyBorder="1" applyAlignment="1">
      <alignment horizontal="center"/>
    </xf>
    <xf numFmtId="192" fontId="9" fillId="17" borderId="19" xfId="19" applyNumberFormat="1" applyFont="1" applyFill="1" applyBorder="1" applyAlignment="1">
      <alignment horizontal="center"/>
    </xf>
    <xf numFmtId="0" fontId="0" fillId="0" borderId="19" xfId="19" applyFont="1" applyBorder="1" applyAlignment="1">
      <alignment horizontal="center"/>
    </xf>
    <xf numFmtId="0" fontId="9" fillId="17" borderId="19" xfId="19" applyFont="1" applyFill="1" applyBorder="1" applyAlignment="1">
      <alignment horizontal="center"/>
    </xf>
    <xf numFmtId="192" fontId="0" fillId="17" borderId="15" xfId="0" applyNumberFormat="1" applyFill="1" applyBorder="1" applyAlignment="1">
      <alignment horizontal="center" vertical="center"/>
    </xf>
    <xf numFmtId="192" fontId="0" fillId="18" borderId="15" xfId="0" applyNumberForma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42" fillId="0" borderId="0" xfId="0" applyNumberFormat="1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2" fillId="24" borderId="0" xfId="0" applyFont="1" applyFill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3" fillId="24" borderId="0" xfId="0" applyFont="1" applyFill="1" applyAlignment="1">
      <alignment horizontal="center" vertical="center"/>
    </xf>
    <xf numFmtId="0" fontId="42" fillId="0" borderId="0" xfId="0" applyFont="1" applyAlignment="1">
      <alignment horizontal="right" vertical="center"/>
    </xf>
    <xf numFmtId="0" fontId="42" fillId="0" borderId="0" xfId="0" applyFont="1" applyAlignment="1">
      <alignment vertical="center"/>
    </xf>
    <xf numFmtId="0" fontId="42" fillId="0" borderId="0" xfId="0" applyFont="1" applyBorder="1" applyAlignment="1">
      <alignment horizontal="center" vertical="center"/>
    </xf>
    <xf numFmtId="0" fontId="43" fillId="24" borderId="0" xfId="0" applyFont="1" applyFill="1" applyBorder="1" applyAlignment="1">
      <alignment horizontal="center" vertical="center"/>
    </xf>
    <xf numFmtId="0" fontId="10" fillId="24" borderId="0" xfId="0" applyFont="1" applyFill="1" applyBorder="1" applyAlignment="1">
      <alignment horizontal="center" vertical="center"/>
    </xf>
    <xf numFmtId="0" fontId="10" fillId="24" borderId="0" xfId="0" applyFont="1" applyFill="1" applyAlignment="1">
      <alignment horizontal="center" vertical="center"/>
    </xf>
    <xf numFmtId="0" fontId="44" fillId="20" borderId="144" xfId="0" applyFont="1" applyFill="1" applyBorder="1" applyAlignment="1">
      <alignment horizontal="center" vertical="center"/>
    </xf>
    <xf numFmtId="0" fontId="33" fillId="0" borderId="0" xfId="24" applyFont="1" applyAlignment="1"/>
    <xf numFmtId="2" fontId="33" fillId="0" borderId="0" xfId="24" applyNumberFormat="1" applyFont="1" applyAlignment="1"/>
    <xf numFmtId="0" fontId="9" fillId="0" borderId="0" xfId="0" applyFont="1" applyFill="1" applyBorder="1" applyAlignment="1"/>
    <xf numFmtId="0" fontId="9" fillId="0" borderId="0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65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45" fillId="0" borderId="0" xfId="0" applyFont="1" applyFill="1" applyBorder="1" applyAlignment="1"/>
    <xf numFmtId="0" fontId="26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26" fillId="0" borderId="19" xfId="0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10" fillId="25" borderId="19" xfId="0" applyFont="1" applyFill="1" applyBorder="1" applyAlignment="1">
      <alignment horizontal="center"/>
    </xf>
    <xf numFmtId="0" fontId="10" fillId="26" borderId="19" xfId="0" applyFont="1" applyFill="1" applyBorder="1" applyAlignment="1">
      <alignment horizontal="center"/>
    </xf>
    <xf numFmtId="0" fontId="10" fillId="0" borderId="0" xfId="0" applyFont="1" applyAlignment="1"/>
    <xf numFmtId="0" fontId="46" fillId="27" borderId="0" xfId="0" applyFont="1" applyFill="1" applyAlignment="1">
      <alignment horizontal="center"/>
    </xf>
    <xf numFmtId="0" fontId="46" fillId="27" borderId="0" xfId="0" applyFont="1" applyFill="1" applyAlignment="1"/>
    <xf numFmtId="0" fontId="0" fillId="27" borderId="0" xfId="0" applyFill="1" applyAlignment="1"/>
    <xf numFmtId="0" fontId="0" fillId="26" borderId="25" xfId="0" applyFill="1" applyBorder="1" applyAlignment="1"/>
    <xf numFmtId="0" fontId="0" fillId="28" borderId="0" xfId="0" applyFill="1" applyAlignment="1"/>
    <xf numFmtId="9" fontId="0" fillId="0" borderId="0" xfId="0" applyNumberFormat="1" applyAlignment="1">
      <alignment horizontal="center"/>
    </xf>
    <xf numFmtId="0" fontId="46" fillId="29" borderId="0" xfId="0" applyFont="1" applyFill="1" applyAlignment="1">
      <alignment horizontal="center"/>
    </xf>
    <xf numFmtId="0" fontId="46" fillId="29" borderId="0" xfId="0" applyFont="1" applyFill="1" applyAlignment="1"/>
    <xf numFmtId="0" fontId="0" fillId="29" borderId="0" xfId="0" applyFill="1" applyAlignment="1"/>
    <xf numFmtId="0" fontId="0" fillId="26" borderId="66" xfId="0" applyFill="1" applyBorder="1" applyAlignment="1"/>
    <xf numFmtId="0" fontId="0" fillId="15" borderId="0" xfId="0" applyFill="1" applyAlignment="1"/>
    <xf numFmtId="1" fontId="46" fillId="27" borderId="0" xfId="0" applyNumberFormat="1" applyFont="1" applyFill="1" applyAlignment="1"/>
    <xf numFmtId="0" fontId="0" fillId="30" borderId="0" xfId="0" applyFill="1" applyAlignment="1"/>
    <xf numFmtId="0" fontId="9" fillId="0" borderId="0" xfId="0" applyFont="1" applyAlignment="1">
      <alignment horizontal="center"/>
    </xf>
    <xf numFmtId="0" fontId="46" fillId="25" borderId="0" xfId="0" applyFont="1" applyFill="1" applyAlignment="1">
      <alignment horizontal="center"/>
    </xf>
    <xf numFmtId="0" fontId="46" fillId="25" borderId="0" xfId="0" applyFont="1" applyFill="1" applyAlignment="1"/>
    <xf numFmtId="0" fontId="0" fillId="25" borderId="0" xfId="0" applyFill="1" applyAlignment="1"/>
    <xf numFmtId="0" fontId="47" fillId="31" borderId="0" xfId="0" applyFont="1" applyFill="1" applyAlignment="1"/>
    <xf numFmtId="0" fontId="46" fillId="32" borderId="0" xfId="0" applyFont="1" applyFill="1" applyAlignment="1">
      <alignment horizontal="center"/>
    </xf>
    <xf numFmtId="0" fontId="46" fillId="32" borderId="0" xfId="0" applyFont="1" applyFill="1" applyAlignment="1"/>
    <xf numFmtId="0" fontId="0" fillId="32" borderId="0" xfId="0" applyFill="1" applyAlignment="1"/>
    <xf numFmtId="0" fontId="0" fillId="33" borderId="0" xfId="0" applyFill="1" applyAlignment="1"/>
    <xf numFmtId="0" fontId="0" fillId="26" borderId="0" xfId="0" applyFill="1" applyAlignment="1"/>
    <xf numFmtId="0" fontId="46" fillId="26" borderId="0" xfId="0" applyFont="1" applyFill="1" applyAlignment="1"/>
    <xf numFmtId="0" fontId="46" fillId="34" borderId="0" xfId="0" applyFont="1" applyFill="1" applyAlignment="1">
      <alignment horizontal="center"/>
    </xf>
    <xf numFmtId="0" fontId="46" fillId="34" borderId="0" xfId="0" applyFont="1" applyFill="1" applyAlignment="1"/>
    <xf numFmtId="0" fontId="0" fillId="34" borderId="0" xfId="0" applyFill="1" applyAlignment="1"/>
    <xf numFmtId="0" fontId="46" fillId="35" borderId="0" xfId="0" applyFont="1" applyFill="1" applyAlignment="1">
      <alignment horizontal="center"/>
    </xf>
    <xf numFmtId="0" fontId="46" fillId="35" borderId="0" xfId="0" applyFont="1" applyFill="1" applyAlignment="1"/>
    <xf numFmtId="0" fontId="0" fillId="35" borderId="0" xfId="0" applyFill="1" applyAlignment="1"/>
    <xf numFmtId="0" fontId="0" fillId="26" borderId="37" xfId="0" applyFill="1" applyBorder="1" applyAlignment="1"/>
    <xf numFmtId="0" fontId="48" fillId="36" borderId="0" xfId="0" applyFont="1" applyFill="1" applyAlignment="1">
      <alignment horizontal="center"/>
    </xf>
    <xf numFmtId="0" fontId="48" fillId="36" borderId="0" xfId="0" applyFont="1" applyFill="1" applyAlignment="1"/>
    <xf numFmtId="0" fontId="0" fillId="36" borderId="0" xfId="0" applyFill="1" applyAlignment="1"/>
    <xf numFmtId="0" fontId="0" fillId="25" borderId="0" xfId="0" applyFill="1" applyAlignment="1">
      <alignment horizontal="center"/>
    </xf>
    <xf numFmtId="1" fontId="49" fillId="25" borderId="0" xfId="0" applyNumberFormat="1" applyFont="1" applyFill="1" applyAlignment="1">
      <alignment horizontal="center"/>
    </xf>
    <xf numFmtId="0" fontId="46" fillId="24" borderId="0" xfId="0" applyFont="1" applyFill="1" applyAlignment="1">
      <alignment horizontal="center"/>
    </xf>
    <xf numFmtId="0" fontId="46" fillId="24" borderId="0" xfId="0" applyFont="1" applyFill="1" applyAlignment="1"/>
    <xf numFmtId="0" fontId="0" fillId="24" borderId="0" xfId="0" applyFill="1" applyAlignment="1"/>
    <xf numFmtId="0" fontId="46" fillId="37" borderId="0" xfId="0" applyFont="1" applyFill="1" applyAlignment="1">
      <alignment horizontal="center"/>
    </xf>
    <xf numFmtId="0" fontId="46" fillId="37" borderId="0" xfId="0" applyFont="1" applyFill="1" applyAlignment="1"/>
    <xf numFmtId="0" fontId="0" fillId="37" borderId="0" xfId="0" applyFill="1" applyAlignment="1"/>
    <xf numFmtId="0" fontId="46" fillId="38" borderId="0" xfId="0" applyFont="1" applyFill="1" applyAlignment="1">
      <alignment horizontal="center"/>
    </xf>
    <xf numFmtId="0" fontId="46" fillId="38" borderId="0" xfId="0" applyFont="1" applyFill="1" applyAlignment="1"/>
    <xf numFmtId="0" fontId="0" fillId="38" borderId="0" xfId="0" applyFont="1" applyFill="1" applyAlignment="1"/>
    <xf numFmtId="0" fontId="0" fillId="38" borderId="0" xfId="0" applyFill="1" applyAlignment="1"/>
    <xf numFmtId="0" fontId="46" fillId="26" borderId="0" xfId="0" applyFont="1" applyFill="1" applyAlignment="1">
      <alignment horizontal="center"/>
    </xf>
    <xf numFmtId="0" fontId="48" fillId="26" borderId="0" xfId="0" applyFont="1" applyFill="1" applyAlignment="1"/>
    <xf numFmtId="0" fontId="50" fillId="26" borderId="0" xfId="0" applyFont="1" applyFill="1" applyAlignment="1"/>
    <xf numFmtId="0" fontId="0" fillId="26" borderId="0" xfId="0" applyFont="1" applyFill="1" applyAlignment="1"/>
    <xf numFmtId="0" fontId="46" fillId="39" borderId="0" xfId="0" applyFont="1" applyFill="1" applyAlignment="1">
      <alignment horizontal="center"/>
    </xf>
    <xf numFmtId="0" fontId="46" fillId="39" borderId="0" xfId="0" applyFont="1" applyFill="1" applyAlignment="1"/>
    <xf numFmtId="0" fontId="0" fillId="39" borderId="0" xfId="0" applyFont="1" applyFill="1" applyAlignment="1"/>
    <xf numFmtId="0" fontId="0" fillId="39" borderId="0" xfId="0" applyFill="1" applyAlignment="1"/>
    <xf numFmtId="0" fontId="0" fillId="25" borderId="0" xfId="0" applyFont="1" applyFill="1" applyAlignment="1"/>
    <xf numFmtId="0" fontId="49" fillId="32" borderId="0" xfId="0" applyFont="1" applyFill="1" applyAlignment="1"/>
    <xf numFmtId="0" fontId="0" fillId="32" borderId="0" xfId="0" applyFont="1" applyFill="1" applyAlignment="1"/>
    <xf numFmtId="0" fontId="46" fillId="40" borderId="0" xfId="0" applyFont="1" applyFill="1" applyAlignment="1"/>
    <xf numFmtId="0" fontId="0" fillId="40" borderId="0" xfId="0" applyFill="1" applyAlignment="1"/>
    <xf numFmtId="0" fontId="46" fillId="41" borderId="0" xfId="0" applyFont="1" applyFill="1" applyAlignment="1"/>
    <xf numFmtId="0" fontId="0" fillId="41" borderId="0" xfId="0" applyFill="1" applyAlignment="1"/>
    <xf numFmtId="0" fontId="46" fillId="42" borderId="0" xfId="0" applyFont="1" applyFill="1" applyAlignment="1"/>
    <xf numFmtId="0" fontId="49" fillId="42" borderId="0" xfId="0" applyFont="1" applyFill="1" applyAlignment="1"/>
    <xf numFmtId="0" fontId="0" fillId="42" borderId="0" xfId="0" applyFill="1" applyAlignment="1"/>
    <xf numFmtId="0" fontId="46" fillId="43" borderId="0" xfId="0" applyFont="1" applyFill="1" applyAlignment="1"/>
    <xf numFmtId="0" fontId="0" fillId="43" borderId="0" xfId="0" applyFill="1" applyAlignment="1"/>
    <xf numFmtId="0" fontId="51" fillId="32" borderId="0" xfId="0" applyFont="1" applyFill="1" applyAlignment="1"/>
    <xf numFmtId="0" fontId="51" fillId="44" borderId="0" xfId="0" applyFont="1" applyFill="1" applyAlignment="1"/>
    <xf numFmtId="0" fontId="46" fillId="44" borderId="0" xfId="0" applyFont="1" applyFill="1" applyAlignment="1"/>
    <xf numFmtId="2" fontId="46" fillId="44" borderId="0" xfId="0" applyNumberFormat="1" applyFont="1" applyFill="1" applyAlignment="1"/>
    <xf numFmtId="0" fontId="48" fillId="44" borderId="0" xfId="0" applyFont="1" applyFill="1" applyAlignment="1"/>
    <xf numFmtId="0" fontId="0" fillId="44" borderId="0" xfId="0" applyFill="1" applyAlignment="1"/>
    <xf numFmtId="0" fontId="49" fillId="35" borderId="0" xfId="0" applyFont="1" applyFill="1" applyAlignment="1"/>
    <xf numFmtId="0" fontId="46" fillId="36" borderId="0" xfId="0" applyFont="1" applyFill="1" applyAlignment="1"/>
    <xf numFmtId="0" fontId="49" fillId="36" borderId="0" xfId="0" applyFont="1" applyFill="1" applyAlignment="1"/>
    <xf numFmtId="0" fontId="46" fillId="45" borderId="0" xfId="0" applyFont="1" applyFill="1" applyAlignment="1"/>
    <xf numFmtId="0" fontId="49" fillId="45" borderId="0" xfId="0" applyFont="1" applyFill="1" applyAlignment="1"/>
    <xf numFmtId="0" fontId="0" fillId="45" borderId="0" xfId="0" applyFill="1" applyAlignment="1"/>
    <xf numFmtId="0" fontId="49" fillId="26" borderId="0" xfId="0" applyFont="1" applyFill="1" applyAlignment="1"/>
    <xf numFmtId="0" fontId="49" fillId="24" borderId="0" xfId="0" applyFont="1" applyFill="1" applyAlignment="1"/>
    <xf numFmtId="9" fontId="0" fillId="0" borderId="0" xfId="0" applyNumberFormat="1" applyAlignment="1"/>
    <xf numFmtId="0" fontId="49" fillId="34" borderId="0" xfId="0" applyFont="1" applyFill="1" applyAlignment="1"/>
    <xf numFmtId="0" fontId="40" fillId="34" borderId="0" xfId="0" applyFont="1" applyFill="1" applyAlignment="1"/>
    <xf numFmtId="0" fontId="0" fillId="0" borderId="67" xfId="0" applyBorder="1">
      <alignment vertical="center"/>
    </xf>
    <xf numFmtId="0" fontId="0" fillId="0" borderId="22" xfId="0" applyBorder="1">
      <alignment vertical="center"/>
    </xf>
    <xf numFmtId="2" fontId="46" fillId="27" borderId="0" xfId="0" applyNumberFormat="1" applyFont="1" applyFill="1" applyAlignment="1"/>
    <xf numFmtId="0" fontId="0" fillId="0" borderId="68" xfId="0" applyFont="1" applyFill="1" applyBorder="1" applyAlignment="1">
      <alignment horizontal="center"/>
    </xf>
    <xf numFmtId="0" fontId="0" fillId="20" borderId="69" xfId="0" applyFill="1" applyBorder="1" applyAlignment="1">
      <alignment horizontal="center"/>
    </xf>
    <xf numFmtId="9" fontId="0" fillId="0" borderId="70" xfId="0" applyNumberFormat="1" applyBorder="1" applyAlignment="1">
      <alignment horizontal="center"/>
    </xf>
    <xf numFmtId="0" fontId="0" fillId="20" borderId="71" xfId="0" applyFill="1" applyBorder="1" applyAlignment="1">
      <alignment horizontal="center"/>
    </xf>
    <xf numFmtId="0" fontId="0" fillId="0" borderId="72" xfId="0" applyFont="1" applyFill="1" applyBorder="1" applyAlignment="1">
      <alignment horizontal="center"/>
    </xf>
    <xf numFmtId="9" fontId="0" fillId="0" borderId="73" xfId="0" applyNumberFormat="1" applyBorder="1" applyAlignment="1">
      <alignment horizontal="center"/>
    </xf>
    <xf numFmtId="0" fontId="0" fillId="20" borderId="73" xfId="0" applyFill="1" applyBorder="1" applyAlignment="1">
      <alignment horizontal="center"/>
    </xf>
    <xf numFmtId="0" fontId="0" fillId="0" borderId="74" xfId="0" applyFont="1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4" borderId="76" xfId="0" applyFont="1" applyFill="1" applyBorder="1" applyAlignment="1">
      <alignment horizontal="center"/>
    </xf>
    <xf numFmtId="0" fontId="0" fillId="4" borderId="77" xfId="0" applyFont="1" applyFill="1" applyBorder="1" applyAlignment="1">
      <alignment horizontal="center"/>
    </xf>
    <xf numFmtId="191" fontId="0" fillId="0" borderId="78" xfId="0" applyNumberFormat="1" applyBorder="1" applyAlignment="1">
      <alignment horizontal="center"/>
    </xf>
    <xf numFmtId="0" fontId="0" fillId="4" borderId="73" xfId="0" applyFont="1" applyFill="1" applyBorder="1" applyAlignment="1">
      <alignment horizontal="center"/>
    </xf>
    <xf numFmtId="191" fontId="0" fillId="4" borderId="79" xfId="0" applyNumberFormat="1" applyFill="1" applyBorder="1" applyAlignment="1">
      <alignment horizontal="center"/>
    </xf>
    <xf numFmtId="191" fontId="0" fillId="0" borderId="69" xfId="0" applyNumberFormat="1" applyBorder="1" applyAlignment="1">
      <alignment horizontal="center"/>
    </xf>
    <xf numFmtId="191" fontId="0" fillId="0" borderId="79" xfId="0" applyNumberForma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4" borderId="15" xfId="0" applyFont="1" applyFill="1" applyBorder="1" applyAlignment="1">
      <alignment horizontal="center"/>
    </xf>
    <xf numFmtId="0" fontId="0" fillId="0" borderId="75" xfId="0" applyBorder="1" applyAlignment="1"/>
    <xf numFmtId="0" fontId="0" fillId="0" borderId="77" xfId="0" applyFont="1" applyBorder="1" applyAlignment="1">
      <alignment horizontal="center"/>
    </xf>
    <xf numFmtId="0" fontId="0" fillId="4" borderId="81" xfId="0" applyFont="1" applyFill="1" applyBorder="1" applyAlignment="1">
      <alignment horizontal="center"/>
    </xf>
    <xf numFmtId="0" fontId="0" fillId="4" borderId="82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4" borderId="83" xfId="0" applyFill="1" applyBorder="1" applyAlignment="1">
      <alignment horizontal="center"/>
    </xf>
    <xf numFmtId="0" fontId="0" fillId="4" borderId="23" xfId="0" applyFont="1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0" borderId="84" xfId="0" applyBorder="1" applyAlignment="1"/>
    <xf numFmtId="0" fontId="0" fillId="0" borderId="69" xfId="0" applyFill="1" applyBorder="1" applyAlignment="1">
      <alignment horizontal="center"/>
    </xf>
    <xf numFmtId="2" fontId="0" fillId="4" borderId="17" xfId="0" applyNumberFormat="1" applyFill="1" applyBorder="1" applyAlignment="1"/>
    <xf numFmtId="0" fontId="0" fillId="4" borderId="75" xfId="0" applyFont="1" applyFill="1" applyBorder="1" applyAlignment="1">
      <alignment horizontal="center"/>
    </xf>
    <xf numFmtId="0" fontId="0" fillId="0" borderId="77" xfId="0" applyBorder="1" applyAlignment="1"/>
    <xf numFmtId="0" fontId="0" fillId="0" borderId="69" xfId="0" applyBorder="1" applyAlignment="1"/>
    <xf numFmtId="0" fontId="0" fillId="4" borderId="79" xfId="0" applyFill="1" applyBorder="1" applyAlignment="1">
      <alignment horizontal="center"/>
    </xf>
    <xf numFmtId="0" fontId="0" fillId="0" borderId="85" xfId="0" applyFont="1" applyFill="1" applyBorder="1" applyAlignment="1">
      <alignment horizontal="center"/>
    </xf>
    <xf numFmtId="0" fontId="0" fillId="20" borderId="86" xfId="0" applyFill="1" applyBorder="1" applyAlignment="1">
      <alignment horizontal="center"/>
    </xf>
    <xf numFmtId="0" fontId="0" fillId="20" borderId="79" xfId="0" applyFill="1" applyBorder="1" applyAlignment="1">
      <alignment horizontal="center"/>
    </xf>
    <xf numFmtId="191" fontId="0" fillId="4" borderId="83" xfId="0" applyNumberFormat="1" applyFill="1" applyBorder="1" applyAlignment="1">
      <alignment horizontal="center"/>
    </xf>
    <xf numFmtId="191" fontId="0" fillId="0" borderId="17" xfId="0" applyNumberFormat="1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82" xfId="0" applyFill="1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23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5" xfId="0" applyBorder="1" applyAlignment="1"/>
    <xf numFmtId="0" fontId="0" fillId="0" borderId="87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17" xfId="0" applyBorder="1" applyAlignment="1"/>
    <xf numFmtId="191" fontId="0" fillId="4" borderId="89" xfId="0" applyNumberFormat="1" applyFill="1" applyBorder="1" applyAlignment="1">
      <alignment horizontal="center"/>
    </xf>
    <xf numFmtId="191" fontId="0" fillId="0" borderId="82" xfId="0" applyNumberFormat="1" applyBorder="1" applyAlignment="1">
      <alignment horizontal="center"/>
    </xf>
    <xf numFmtId="0" fontId="0" fillId="0" borderId="87" xfId="0" applyBorder="1" applyAlignment="1"/>
    <xf numFmtId="0" fontId="0" fillId="0" borderId="69" xfId="0" applyBorder="1" applyAlignment="1">
      <alignment horizontal="center"/>
    </xf>
    <xf numFmtId="9" fontId="0" fillId="0" borderId="90" xfId="0" applyNumberFormat="1" applyBorder="1" applyAlignment="1">
      <alignment horizontal="center"/>
    </xf>
    <xf numFmtId="0" fontId="0" fillId="0" borderId="84" xfId="0" applyBorder="1" applyAlignment="1">
      <alignment horizontal="center"/>
    </xf>
    <xf numFmtId="191" fontId="0" fillId="4" borderId="82" xfId="0" applyNumberFormat="1" applyFill="1" applyBorder="1" applyAlignment="1">
      <alignment horizontal="center"/>
    </xf>
    <xf numFmtId="0" fontId="0" fillId="0" borderId="82" xfId="0" applyBorder="1" applyAlignment="1">
      <alignment horizontal="center"/>
    </xf>
    <xf numFmtId="0" fontId="0" fillId="4" borderId="15" xfId="0" applyFill="1" applyBorder="1" applyAlignment="1">
      <alignment horizontal="center"/>
    </xf>
    <xf numFmtId="2" fontId="0" fillId="4" borderId="69" xfId="0" applyNumberFormat="1" applyFill="1" applyBorder="1" applyAlignment="1"/>
    <xf numFmtId="0" fontId="0" fillId="4" borderId="84" xfId="0" applyFont="1" applyFill="1" applyBorder="1" applyAlignment="1">
      <alignment horizontal="center"/>
    </xf>
    <xf numFmtId="0" fontId="0" fillId="46" borderId="69" xfId="0" applyFill="1" applyBorder="1" applyAlignment="1">
      <alignment horizontal="center"/>
    </xf>
    <xf numFmtId="9" fontId="0" fillId="0" borderId="70" xfId="0" applyNumberFormat="1" applyBorder="1" applyAlignment="1"/>
    <xf numFmtId="0" fontId="0" fillId="46" borderId="71" xfId="0" applyFill="1" applyBorder="1" applyAlignment="1">
      <alignment horizontal="center"/>
    </xf>
    <xf numFmtId="0" fontId="0" fillId="46" borderId="17" xfId="0" applyFill="1" applyBorder="1" applyAlignment="1">
      <alignment horizontal="center"/>
    </xf>
    <xf numFmtId="0" fontId="0" fillId="46" borderId="74" xfId="0" applyFill="1" applyBorder="1" applyAlignment="1">
      <alignment horizontal="center"/>
    </xf>
    <xf numFmtId="9" fontId="0" fillId="0" borderId="90" xfId="0" applyNumberFormat="1" applyBorder="1" applyAlignment="1"/>
    <xf numFmtId="0" fontId="0" fillId="46" borderId="84" xfId="0" applyFill="1" applyBorder="1" applyAlignment="1">
      <alignment horizontal="center"/>
    </xf>
    <xf numFmtId="0" fontId="0" fillId="46" borderId="73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9" fontId="0" fillId="0" borderId="75" xfId="0" applyNumberFormat="1" applyBorder="1" applyAlignment="1"/>
    <xf numFmtId="9" fontId="0" fillId="0" borderId="80" xfId="0" applyNumberFormat="1" applyBorder="1" applyAlignment="1"/>
    <xf numFmtId="0" fontId="0" fillId="0" borderId="91" xfId="0" applyFont="1" applyFill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0" fontId="0" fillId="4" borderId="5" xfId="0" applyFont="1" applyFill="1" applyBorder="1" applyAlignment="1">
      <alignment horizontal="center"/>
    </xf>
    <xf numFmtId="0" fontId="0" fillId="0" borderId="20" xfId="0" applyFont="1" applyFill="1" applyBorder="1" applyAlignment="1">
      <alignment horizontal="center"/>
    </xf>
    <xf numFmtId="9" fontId="0" fillId="0" borderId="88" xfId="0" applyNumberFormat="1" applyBorder="1" applyAlignment="1">
      <alignment horizontal="center"/>
    </xf>
    <xf numFmtId="9" fontId="0" fillId="0" borderId="75" xfId="0" applyNumberFormat="1" applyBorder="1" applyAlignment="1">
      <alignment horizontal="center"/>
    </xf>
    <xf numFmtId="191" fontId="0" fillId="4" borderId="17" xfId="0" applyNumberFormat="1" applyFill="1" applyBorder="1" applyAlignment="1">
      <alignment horizontal="center"/>
    </xf>
    <xf numFmtId="0" fontId="0" fillId="0" borderId="92" xfId="0" applyFont="1" applyFill="1" applyBorder="1" applyAlignment="1">
      <alignment horizontal="center"/>
    </xf>
    <xf numFmtId="0" fontId="0" fillId="0" borderId="23" xfId="0" applyBorder="1">
      <alignment vertical="center"/>
    </xf>
    <xf numFmtId="0" fontId="0" fillId="0" borderId="23" xfId="0" applyFont="1" applyBorder="1" applyAlignment="1">
      <alignment horizontal="center"/>
    </xf>
    <xf numFmtId="191" fontId="0" fillId="0" borderId="18" xfId="0" applyNumberFormat="1" applyBorder="1" applyAlignment="1">
      <alignment horizontal="center"/>
    </xf>
    <xf numFmtId="0" fontId="0" fillId="0" borderId="17" xfId="0" applyFont="1" applyBorder="1" applyAlignment="1">
      <alignment horizontal="center"/>
    </xf>
    <xf numFmtId="2" fontId="0" fillId="2" borderId="11" xfId="0" applyNumberFormat="1" applyFill="1" applyBorder="1" applyAlignment="1">
      <alignment horizontal="center"/>
    </xf>
    <xf numFmtId="2" fontId="0" fillId="2" borderId="68" xfId="0" applyNumberFormat="1" applyFill="1" applyBorder="1" applyAlignment="1">
      <alignment horizontal="center"/>
    </xf>
    <xf numFmtId="0" fontId="0" fillId="20" borderId="84" xfId="0" applyFill="1" applyBorder="1" applyAlignment="1">
      <alignment horizontal="center"/>
    </xf>
    <xf numFmtId="191" fontId="0" fillId="4" borderId="74" xfId="0" applyNumberFormat="1" applyFill="1" applyBorder="1" applyAlignment="1">
      <alignment horizontal="center"/>
    </xf>
    <xf numFmtId="0" fontId="0" fillId="0" borderId="78" xfId="0" applyBorder="1" applyAlignment="1"/>
    <xf numFmtId="0" fontId="0" fillId="0" borderId="93" xfId="0" applyBorder="1" applyAlignment="1"/>
    <xf numFmtId="0" fontId="0" fillId="4" borderId="74" xfId="0" applyFill="1" applyBorder="1" applyAlignment="1">
      <alignment horizontal="center"/>
    </xf>
    <xf numFmtId="191" fontId="0" fillId="0" borderId="83" xfId="0" applyNumberFormat="1" applyBorder="1" applyAlignment="1">
      <alignment horizontal="center"/>
    </xf>
    <xf numFmtId="0" fontId="0" fillId="0" borderId="94" xfId="0" applyFill="1" applyBorder="1" applyAlignment="1">
      <alignment horizontal="center"/>
    </xf>
    <xf numFmtId="0" fontId="0" fillId="0" borderId="74" xfId="0" applyFill="1" applyBorder="1" applyAlignment="1">
      <alignment horizontal="center"/>
    </xf>
    <xf numFmtId="0" fontId="0" fillId="20" borderId="82" xfId="0" applyFill="1" applyBorder="1" applyAlignment="1">
      <alignment horizontal="center"/>
    </xf>
    <xf numFmtId="0" fontId="0" fillId="0" borderId="84" xfId="0" applyFont="1" applyFill="1" applyBorder="1" applyAlignment="1">
      <alignment horizontal="center"/>
    </xf>
    <xf numFmtId="0" fontId="0" fillId="20" borderId="15" xfId="0" applyFill="1" applyBorder="1" applyAlignment="1">
      <alignment horizontal="center"/>
    </xf>
    <xf numFmtId="0" fontId="0" fillId="0" borderId="93" xfId="0" applyFont="1" applyBorder="1" applyAlignment="1">
      <alignment horizontal="center"/>
    </xf>
    <xf numFmtId="0" fontId="0" fillId="4" borderId="16" xfId="0" applyFont="1" applyFill="1" applyBorder="1" applyAlignment="1">
      <alignment horizontal="center"/>
    </xf>
    <xf numFmtId="0" fontId="0" fillId="0" borderId="15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3" fillId="15" borderId="67" xfId="0" applyFont="1" applyFill="1" applyBorder="1" applyAlignment="1">
      <alignment horizontal="center" vertical="center"/>
    </xf>
    <xf numFmtId="192" fontId="54" fillId="0" borderId="0" xfId="0" applyNumberFormat="1" applyFont="1" applyAlignment="1">
      <alignment horizontal="center" vertical="center"/>
    </xf>
    <xf numFmtId="0" fontId="55" fillId="33" borderId="19" xfId="0" applyFont="1" applyFill="1" applyBorder="1" applyAlignment="1"/>
    <xf numFmtId="0" fontId="40" fillId="20" borderId="19" xfId="0" applyFont="1" applyFill="1" applyBorder="1" applyAlignment="1">
      <alignment horizontal="center" vertical="center"/>
    </xf>
    <xf numFmtId="0" fontId="40" fillId="17" borderId="0" xfId="0" applyFont="1" applyFill="1" applyAlignment="1"/>
    <xf numFmtId="0" fontId="40" fillId="17" borderId="0" xfId="0" applyFont="1" applyFill="1" applyAlignment="1">
      <alignment horizontal="center" vertical="center"/>
    </xf>
    <xf numFmtId="0" fontId="40" fillId="20" borderId="145" xfId="0" applyFont="1" applyFill="1" applyBorder="1" applyAlignment="1">
      <alignment horizontal="center" vertical="center"/>
    </xf>
    <xf numFmtId="0" fontId="40" fillId="20" borderId="146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40" fillId="17" borderId="63" xfId="0" applyFont="1" applyFill="1" applyBorder="1" applyAlignment="1"/>
    <xf numFmtId="0" fontId="40" fillId="20" borderId="25" xfId="0" applyFont="1" applyFill="1" applyBorder="1" applyAlignment="1">
      <alignment horizontal="center" vertical="center"/>
    </xf>
    <xf numFmtId="0" fontId="40" fillId="20" borderId="95" xfId="0" applyFont="1" applyFill="1" applyBorder="1" applyAlignment="1">
      <alignment horizontal="center" vertical="center"/>
    </xf>
    <xf numFmtId="0" fontId="40" fillId="20" borderId="15" xfId="0" applyFont="1" applyFill="1" applyBorder="1" applyAlignment="1">
      <alignment horizontal="center" vertical="center"/>
    </xf>
    <xf numFmtId="0" fontId="0" fillId="17" borderId="0" xfId="0" applyFill="1" applyAlignment="1"/>
    <xf numFmtId="0" fontId="40" fillId="20" borderId="37" xfId="0" applyFont="1" applyFill="1" applyBorder="1" applyAlignment="1">
      <alignment horizontal="center" vertical="center"/>
    </xf>
    <xf numFmtId="0" fontId="2" fillId="0" borderId="96" xfId="11" applyBorder="1" applyAlignment="1">
      <alignment horizontal="center"/>
    </xf>
    <xf numFmtId="0" fontId="2" fillId="0" borderId="96" xfId="11" applyBorder="1" applyAlignment="1"/>
    <xf numFmtId="0" fontId="40" fillId="20" borderId="97" xfId="0" applyFont="1" applyFill="1" applyBorder="1" applyAlignment="1">
      <alignment horizontal="center" vertical="center"/>
    </xf>
    <xf numFmtId="0" fontId="9" fillId="0" borderId="15" xfId="11" applyFont="1" applyBorder="1" applyAlignment="1">
      <alignment horizontal="center"/>
    </xf>
    <xf numFmtId="0" fontId="2" fillId="21" borderId="33" xfId="11" applyFill="1" applyBorder="1" applyAlignment="1">
      <alignment horizontal="center"/>
    </xf>
    <xf numFmtId="0" fontId="2" fillId="0" borderId="0" xfId="11" applyFont="1" applyFill="1" applyBorder="1" applyAlignment="1">
      <alignment horizontal="center"/>
    </xf>
    <xf numFmtId="0" fontId="2" fillId="0" borderId="0" xfId="11" applyFill="1" applyBorder="1"/>
    <xf numFmtId="192" fontId="2" fillId="0" borderId="0" xfId="11" applyNumberFormat="1" applyFill="1" applyBorder="1" applyAlignment="1">
      <alignment horizontal="center"/>
    </xf>
    <xf numFmtId="189" fontId="2" fillId="0" borderId="0" xfId="11" applyNumberFormat="1" applyFill="1" applyBorder="1" applyAlignment="1">
      <alignment horizontal="center"/>
    </xf>
    <xf numFmtId="0" fontId="2" fillId="0" borderId="98" xfId="11" applyFont="1" applyBorder="1" applyAlignment="1">
      <alignment horizontal="center"/>
    </xf>
    <xf numFmtId="0" fontId="2" fillId="0" borderId="15" xfId="11" applyBorder="1" applyAlignment="1">
      <alignment horizontal="center"/>
    </xf>
    <xf numFmtId="0" fontId="2" fillId="0" borderId="20" xfId="11" applyBorder="1" applyAlignment="1">
      <alignment horizontal="center"/>
    </xf>
    <xf numFmtId="0" fontId="2" fillId="0" borderId="0" xfId="11" applyFill="1" applyBorder="1" applyAlignment="1">
      <alignment horizontal="center"/>
    </xf>
    <xf numFmtId="0" fontId="2" fillId="0" borderId="33" xfId="11" applyBorder="1" applyAlignment="1">
      <alignment horizontal="center"/>
    </xf>
    <xf numFmtId="193" fontId="2" fillId="0" borderId="0" xfId="11" applyNumberFormat="1" applyFill="1" applyBorder="1"/>
    <xf numFmtId="0" fontId="10" fillId="0" borderId="0" xfId="11" applyFont="1" applyFill="1" applyBorder="1" applyAlignment="1">
      <alignment horizontal="center"/>
    </xf>
    <xf numFmtId="0" fontId="2" fillId="0" borderId="0" xfId="11" applyBorder="1" applyAlignment="1">
      <alignment horizontal="center"/>
    </xf>
    <xf numFmtId="0" fontId="42" fillId="0" borderId="15" xfId="0" applyFont="1" applyBorder="1" applyAlignment="1">
      <alignment horizontal="center" vertical="center"/>
    </xf>
    <xf numFmtId="0" fontId="42" fillId="0" borderId="22" xfId="0" applyFont="1" applyBorder="1" applyAlignment="1">
      <alignment horizontal="center" vertical="center"/>
    </xf>
    <xf numFmtId="0" fontId="42" fillId="0" borderId="23" xfId="0" applyFont="1" applyBorder="1" applyAlignment="1">
      <alignment horizontal="center" vertical="center"/>
    </xf>
    <xf numFmtId="0" fontId="42" fillId="0" borderId="0" xfId="0" applyFont="1" applyFill="1" applyBorder="1" applyAlignment="1">
      <alignment vertical="center"/>
    </xf>
    <xf numFmtId="187" fontId="22" fillId="20" borderId="147" xfId="0" applyNumberFormat="1" applyFont="1" applyFill="1" applyBorder="1" applyAlignment="1">
      <alignment horizontal="center" vertical="center"/>
    </xf>
    <xf numFmtId="187" fontId="22" fillId="20" borderId="16" xfId="0" applyNumberFormat="1" applyFont="1" applyFill="1" applyBorder="1" applyAlignment="1">
      <alignment horizontal="center" vertical="center"/>
    </xf>
    <xf numFmtId="187" fontId="22" fillId="20" borderId="15" xfId="0" applyNumberFormat="1" applyFont="1" applyFill="1" applyBorder="1" applyAlignment="1">
      <alignment horizontal="center" vertical="center"/>
    </xf>
    <xf numFmtId="187" fontId="22" fillId="20" borderId="148" xfId="0" applyNumberFormat="1" applyFont="1" applyFill="1" applyBorder="1" applyAlignment="1">
      <alignment horizontal="center" vertical="center"/>
    </xf>
    <xf numFmtId="187" fontId="22" fillId="20" borderId="23" xfId="0" applyNumberFormat="1" applyFont="1" applyFill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42" fillId="0" borderId="20" xfId="24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42" fillId="0" borderId="23" xfId="24" applyFont="1" applyBorder="1" applyAlignment="1">
      <alignment horizontal="center"/>
    </xf>
    <xf numFmtId="0" fontId="42" fillId="0" borderId="14" xfId="24" applyFont="1" applyBorder="1" applyAlignment="1">
      <alignment horizontal="center"/>
    </xf>
    <xf numFmtId="0" fontId="42" fillId="0" borderId="15" xfId="24" applyFont="1" applyBorder="1" applyAlignment="1">
      <alignment horizontal="center"/>
    </xf>
    <xf numFmtId="0" fontId="42" fillId="47" borderId="23" xfId="24" applyFont="1" applyFill="1" applyBorder="1" applyAlignment="1">
      <alignment horizontal="center"/>
    </xf>
    <xf numFmtId="0" fontId="42" fillId="47" borderId="15" xfId="24" applyFont="1" applyFill="1" applyBorder="1" applyAlignment="1">
      <alignment horizontal="center"/>
    </xf>
    <xf numFmtId="0" fontId="42" fillId="0" borderId="15" xfId="24" applyFont="1" applyBorder="1" applyAlignment="1"/>
    <xf numFmtId="0" fontId="42" fillId="0" borderId="22" xfId="24" applyFont="1" applyBorder="1" applyAlignment="1">
      <alignment horizontal="center"/>
    </xf>
    <xf numFmtId="0" fontId="42" fillId="47" borderId="23" xfId="24" applyNumberFormat="1" applyFont="1" applyFill="1" applyBorder="1" applyAlignment="1"/>
    <xf numFmtId="0" fontId="56" fillId="0" borderId="0" xfId="0" applyFont="1" applyAlignment="1">
      <alignment horizontal="center"/>
    </xf>
    <xf numFmtId="0" fontId="56" fillId="0" borderId="0" xfId="0" applyFont="1" applyAlignment="1"/>
    <xf numFmtId="0" fontId="56" fillId="0" borderId="0" xfId="0" applyFont="1" applyFill="1" applyBorder="1" applyAlignment="1">
      <alignment horizontal="center"/>
    </xf>
    <xf numFmtId="0" fontId="56" fillId="0" borderId="0" xfId="0" applyFont="1">
      <alignment vertical="center"/>
    </xf>
    <xf numFmtId="0" fontId="40" fillId="20" borderId="20" xfId="0" applyFont="1" applyFill="1" applyBorder="1" applyAlignment="1">
      <alignment horizontal="center"/>
    </xf>
    <xf numFmtId="0" fontId="40" fillId="20" borderId="15" xfId="0" applyFont="1" applyFill="1" applyBorder="1" applyAlignment="1">
      <alignment horizontal="center"/>
    </xf>
    <xf numFmtId="0" fontId="40" fillId="20" borderId="17" xfId="0" applyFont="1" applyFill="1" applyBorder="1" applyAlignment="1">
      <alignment horizontal="center"/>
    </xf>
    <xf numFmtId="0" fontId="40" fillId="20" borderId="2" xfId="0" applyFont="1" applyFill="1" applyBorder="1" applyAlignment="1">
      <alignment horizontal="center"/>
    </xf>
    <xf numFmtId="0" fontId="40" fillId="20" borderId="16" xfId="0" applyFont="1" applyFill="1" applyBorder="1" applyAlignment="1">
      <alignment horizontal="center"/>
    </xf>
    <xf numFmtId="0" fontId="40" fillId="20" borderId="13" xfId="0" applyFont="1" applyFill="1" applyBorder="1" applyAlignment="1">
      <alignment horizontal="center"/>
    </xf>
    <xf numFmtId="191" fontId="49" fillId="20" borderId="17" xfId="0" applyNumberFormat="1" applyFont="1" applyFill="1" applyBorder="1" applyAlignment="1">
      <alignment horizontal="center"/>
    </xf>
    <xf numFmtId="0" fontId="49" fillId="20" borderId="0" xfId="0" applyFont="1" applyFill="1" applyBorder="1" applyAlignment="1">
      <alignment horizontal="center"/>
    </xf>
    <xf numFmtId="0" fontId="40" fillId="20" borderId="0" xfId="0" applyFont="1" applyFill="1" applyBorder="1" applyAlignment="1">
      <alignment horizontal="center"/>
    </xf>
    <xf numFmtId="0" fontId="57" fillId="20" borderId="0" xfId="0" applyFont="1" applyFill="1" applyBorder="1" applyAlignment="1">
      <alignment horizontal="center"/>
    </xf>
    <xf numFmtId="0" fontId="55" fillId="20" borderId="13" xfId="0" applyFont="1" applyFill="1" applyBorder="1" applyAlignment="1">
      <alignment horizontal="center"/>
    </xf>
    <xf numFmtId="191" fontId="40" fillId="20" borderId="13" xfId="0" applyNumberFormat="1" applyFont="1" applyFill="1" applyBorder="1" applyAlignment="1">
      <alignment horizontal="center"/>
    </xf>
    <xf numFmtId="191" fontId="40" fillId="20" borderId="17" xfId="0" applyNumberFormat="1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191" fontId="0" fillId="17" borderId="15" xfId="0" applyNumberFormat="1" applyFill="1" applyBorder="1" applyAlignment="1">
      <alignment horizontal="center" vertical="center"/>
    </xf>
    <xf numFmtId="191" fontId="0" fillId="18" borderId="15" xfId="0" applyNumberFormat="1" applyFill="1" applyBorder="1" applyAlignment="1">
      <alignment horizontal="center" vertical="center"/>
    </xf>
    <xf numFmtId="0" fontId="40" fillId="20" borderId="0" xfId="0" applyFont="1" applyFill="1" applyBorder="1" applyAlignment="1">
      <alignment horizontal="center"/>
    </xf>
    <xf numFmtId="9" fontId="0" fillId="0" borderId="71" xfId="0" applyNumberFormat="1" applyBorder="1" applyAlignment="1">
      <alignment horizontal="center"/>
    </xf>
    <xf numFmtId="9" fontId="0" fillId="0" borderId="69" xfId="0" applyNumberFormat="1" applyBorder="1" applyAlignment="1">
      <alignment horizontal="center"/>
    </xf>
    <xf numFmtId="191" fontId="49" fillId="20" borderId="0" xfId="0" applyNumberFormat="1" applyFont="1" applyFill="1" applyBorder="1" applyAlignment="1">
      <alignment horizontal="center"/>
    </xf>
    <xf numFmtId="192" fontId="0" fillId="0" borderId="0" xfId="0" applyNumberFormat="1" applyFill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5" fillId="0" borderId="0" xfId="40" applyNumberFormat="1" applyFont="1" applyFill="1" applyBorder="1" applyAlignment="1">
      <alignment horizontal="center" vertical="center"/>
    </xf>
    <xf numFmtId="0" fontId="45" fillId="0" borderId="0" xfId="0" applyNumberFormat="1" applyFont="1" applyFill="1" applyBorder="1" applyAlignment="1">
      <alignment horizontal="center" vertical="center"/>
    </xf>
    <xf numFmtId="191" fontId="45" fillId="0" borderId="0" xfId="0" applyNumberFormat="1" applyFont="1" applyFill="1" applyBorder="1" applyAlignment="1">
      <alignment horizontal="center" vertical="center"/>
    </xf>
    <xf numFmtId="0" fontId="58" fillId="0" borderId="0" xfId="11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vertical="center"/>
    </xf>
    <xf numFmtId="0" fontId="45" fillId="0" borderId="0" xfId="0" applyFont="1">
      <alignment vertical="center"/>
    </xf>
    <xf numFmtId="2" fontId="45" fillId="0" borderId="0" xfId="0" applyNumberFormat="1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/>
    </xf>
    <xf numFmtId="0" fontId="49" fillId="0" borderId="0" xfId="11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 vertical="center"/>
    </xf>
    <xf numFmtId="0" fontId="45" fillId="0" borderId="0" xfId="0" applyFont="1" applyFill="1" applyBorder="1">
      <alignment vertical="center"/>
    </xf>
    <xf numFmtId="192" fontId="58" fillId="0" borderId="0" xfId="0" applyNumberFormat="1" applyFont="1" applyFill="1" applyBorder="1" applyAlignment="1">
      <alignment horizontal="center" vertical="center"/>
    </xf>
    <xf numFmtId="0" fontId="45" fillId="0" borderId="0" xfId="0" applyFont="1" applyAlignment="1">
      <alignment horizontal="center"/>
    </xf>
    <xf numFmtId="0" fontId="45" fillId="0" borderId="0" xfId="11" applyFont="1" applyFill="1" applyBorder="1" applyAlignment="1"/>
    <xf numFmtId="2" fontId="58" fillId="0" borderId="0" xfId="0" applyNumberFormat="1" applyFont="1" applyFill="1" applyBorder="1" applyAlignment="1">
      <alignment horizontal="center" vertical="center"/>
    </xf>
    <xf numFmtId="10" fontId="45" fillId="0" borderId="0" xfId="11" applyNumberFormat="1" applyFont="1" applyFill="1" applyBorder="1" applyAlignment="1">
      <alignment horizontal="center"/>
    </xf>
    <xf numFmtId="0" fontId="45" fillId="0" borderId="0" xfId="11" applyFont="1" applyFill="1" applyBorder="1" applyAlignment="1">
      <alignment horizontal="center"/>
    </xf>
    <xf numFmtId="0" fontId="45" fillId="0" borderId="0" xfId="0" applyFont="1" applyAlignment="1"/>
    <xf numFmtId="10" fontId="45" fillId="0" borderId="0" xfId="11" applyNumberFormat="1" applyFont="1" applyFill="1" applyBorder="1" applyAlignment="1"/>
    <xf numFmtId="192" fontId="45" fillId="0" borderId="0" xfId="11" applyNumberFormat="1" applyFont="1" applyFill="1" applyBorder="1" applyAlignment="1">
      <alignment horizontal="center"/>
    </xf>
    <xf numFmtId="9" fontId="45" fillId="0" borderId="0" xfId="0" applyNumberFormat="1" applyFont="1">
      <alignment vertical="center"/>
    </xf>
    <xf numFmtId="2" fontId="45" fillId="0" borderId="0" xfId="11" applyNumberFormat="1" applyFont="1" applyFill="1" applyBorder="1" applyAlignment="1">
      <alignment horizontal="center"/>
    </xf>
    <xf numFmtId="0" fontId="60" fillId="22" borderId="21" xfId="0" applyFont="1" applyFill="1" applyBorder="1" applyAlignment="1">
      <alignment horizontal="center" vertical="center"/>
    </xf>
    <xf numFmtId="0" fontId="61" fillId="48" borderId="21" xfId="0" applyNumberFormat="1" applyFont="1" applyFill="1" applyBorder="1" applyAlignment="1" applyProtection="1">
      <alignment horizontal="center" vertical="center"/>
    </xf>
    <xf numFmtId="0" fontId="61" fillId="49" borderId="21" xfId="0" applyNumberFormat="1" applyFont="1" applyFill="1" applyBorder="1" applyAlignment="1" applyProtection="1">
      <alignment horizontal="center" vertical="center"/>
    </xf>
    <xf numFmtId="0" fontId="61" fillId="50" borderId="21" xfId="0" applyNumberFormat="1" applyFont="1" applyFill="1" applyBorder="1" applyAlignment="1" applyProtection="1">
      <alignment horizontal="center" vertical="center"/>
    </xf>
    <xf numFmtId="2" fontId="61" fillId="49" borderId="21" xfId="0" applyNumberFormat="1" applyFont="1" applyFill="1" applyBorder="1" applyAlignment="1" applyProtection="1">
      <alignment horizontal="center" vertical="center"/>
    </xf>
    <xf numFmtId="0" fontId="60" fillId="51" borderId="21" xfId="0" applyNumberFormat="1" applyFont="1" applyFill="1" applyBorder="1" applyAlignment="1" applyProtection="1">
      <alignment horizontal="center" vertical="center"/>
    </xf>
    <xf numFmtId="0" fontId="60" fillId="22" borderId="35" xfId="0" applyFont="1" applyFill="1" applyBorder="1" applyAlignment="1">
      <alignment horizontal="center" vertical="center"/>
    </xf>
    <xf numFmtId="0" fontId="61" fillId="17" borderId="17" xfId="0" applyFont="1" applyFill="1" applyBorder="1" applyAlignment="1">
      <alignment horizontal="center" vertical="center"/>
    </xf>
    <xf numFmtId="2" fontId="61" fillId="22" borderId="18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60" fillId="48" borderId="21" xfId="0" applyNumberFormat="1" applyFont="1" applyFill="1" applyBorder="1" applyAlignment="1" applyProtection="1">
      <alignment horizontal="center" vertical="center"/>
    </xf>
    <xf numFmtId="0" fontId="60" fillId="49" borderId="21" xfId="0" applyNumberFormat="1" applyFont="1" applyFill="1" applyBorder="1" applyAlignment="1" applyProtection="1">
      <alignment horizontal="center" vertical="center"/>
    </xf>
    <xf numFmtId="0" fontId="40" fillId="46" borderId="15" xfId="0" applyFont="1" applyFill="1" applyBorder="1" applyAlignment="1">
      <alignment horizontal="center" vertical="center"/>
    </xf>
    <xf numFmtId="2" fontId="40" fillId="46" borderId="15" xfId="0" applyNumberFormat="1" applyFont="1" applyFill="1" applyBorder="1" applyAlignment="1">
      <alignment horizontal="center" vertical="center"/>
    </xf>
    <xf numFmtId="0" fontId="40" fillId="22" borderId="21" xfId="0" applyFont="1" applyFill="1" applyBorder="1" applyAlignment="1">
      <alignment horizontal="center" vertical="center"/>
    </xf>
    <xf numFmtId="2" fontId="40" fillId="0" borderId="0" xfId="0" applyNumberFormat="1" applyFont="1" applyFill="1" applyBorder="1" applyAlignment="1">
      <alignment horizontal="center" vertical="center"/>
    </xf>
    <xf numFmtId="192" fontId="40" fillId="0" borderId="0" xfId="0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Fill="1">
      <alignment vertical="center"/>
    </xf>
    <xf numFmtId="0" fontId="40" fillId="0" borderId="0" xfId="0" applyFont="1" applyFill="1" applyAlignment="1">
      <alignment horizontal="center" vertical="center"/>
    </xf>
    <xf numFmtId="2" fontId="40" fillId="0" borderId="21" xfId="0" applyNumberFormat="1" applyFont="1" applyFill="1" applyBorder="1" applyAlignment="1" applyProtection="1">
      <alignment horizontal="center" vertical="center"/>
    </xf>
    <xf numFmtId="192" fontId="40" fillId="0" borderId="21" xfId="0" applyNumberFormat="1" applyFont="1" applyFill="1" applyBorder="1" applyAlignment="1" applyProtection="1">
      <alignment horizontal="center" vertical="center"/>
    </xf>
    <xf numFmtId="1" fontId="40" fillId="0" borderId="21" xfId="0" applyNumberFormat="1" applyFont="1" applyFill="1" applyBorder="1" applyAlignment="1" applyProtection="1">
      <alignment horizontal="center" vertical="center"/>
    </xf>
    <xf numFmtId="0" fontId="40" fillId="0" borderId="99" xfId="0" applyFont="1" applyFill="1" applyBorder="1" applyAlignment="1">
      <alignment horizontal="center" vertical="center"/>
    </xf>
    <xf numFmtId="1" fontId="40" fillId="0" borderId="0" xfId="0" applyNumberFormat="1" applyFont="1" applyFill="1" applyAlignment="1">
      <alignment horizontal="center" vertical="center"/>
    </xf>
    <xf numFmtId="0" fontId="40" fillId="0" borderId="0" xfId="0" applyFont="1" applyFill="1" applyAlignment="1">
      <alignment vertical="center"/>
    </xf>
    <xf numFmtId="0" fontId="40" fillId="0" borderId="15" xfId="0" applyFont="1" applyFill="1" applyBorder="1" applyAlignment="1">
      <alignment horizontal="center" vertical="center"/>
    </xf>
    <xf numFmtId="2" fontId="40" fillId="0" borderId="15" xfId="0" applyNumberFormat="1" applyFont="1" applyFill="1" applyBorder="1" applyAlignment="1">
      <alignment horizontal="center" vertical="center"/>
    </xf>
    <xf numFmtId="0" fontId="40" fillId="0" borderId="14" xfId="0" applyFont="1" applyFill="1" applyBorder="1">
      <alignment vertical="center"/>
    </xf>
    <xf numFmtId="192" fontId="40" fillId="0" borderId="15" xfId="0" applyNumberFormat="1" applyFont="1" applyFill="1" applyBorder="1" applyAlignment="1">
      <alignment horizontal="center" vertical="center"/>
    </xf>
    <xf numFmtId="0" fontId="40" fillId="0" borderId="100" xfId="0" applyFont="1" applyFill="1" applyBorder="1" applyAlignment="1">
      <alignment horizontal="center" vertical="center"/>
    </xf>
    <xf numFmtId="0" fontId="40" fillId="0" borderId="0" xfId="0" applyFont="1" applyFill="1" applyBorder="1">
      <alignment vertical="center"/>
    </xf>
    <xf numFmtId="0" fontId="40" fillId="0" borderId="39" xfId="0" applyFont="1" applyFill="1" applyBorder="1">
      <alignment vertical="center"/>
    </xf>
    <xf numFmtId="0" fontId="40" fillId="0" borderId="14" xfId="0" applyFont="1" applyFill="1" applyBorder="1" applyAlignment="1">
      <alignment horizontal="center" vertical="center"/>
    </xf>
    <xf numFmtId="192" fontId="40" fillId="0" borderId="68" xfId="0" applyNumberFormat="1" applyFont="1" applyFill="1" applyBorder="1" applyAlignment="1" applyProtection="1">
      <alignment horizontal="center" vertical="center"/>
    </xf>
    <xf numFmtId="0" fontId="40" fillId="0" borderId="62" xfId="0" applyFont="1" applyFill="1" applyBorder="1" applyAlignment="1">
      <alignment horizontal="center" vertical="center"/>
    </xf>
    <xf numFmtId="0" fontId="40" fillId="0" borderId="22" xfId="0" applyFont="1" applyFill="1" applyBorder="1">
      <alignment vertical="center"/>
    </xf>
    <xf numFmtId="0" fontId="40" fillId="0" borderId="39" xfId="0" applyFont="1" applyFill="1" applyBorder="1" applyAlignment="1">
      <alignment horizontal="center" vertical="center"/>
    </xf>
    <xf numFmtId="0" fontId="55" fillId="0" borderId="21" xfId="0" applyNumberFormat="1" applyFont="1" applyFill="1" applyBorder="1" applyAlignment="1" applyProtection="1">
      <alignment horizontal="center" vertical="center"/>
    </xf>
    <xf numFmtId="0" fontId="55" fillId="0" borderId="21" xfId="0" applyFont="1" applyFill="1" applyBorder="1" applyAlignment="1">
      <alignment horizontal="center" vertical="center"/>
    </xf>
    <xf numFmtId="0" fontId="55" fillId="0" borderId="15" xfId="0" applyFont="1" applyFill="1" applyBorder="1" applyAlignment="1">
      <alignment horizontal="center" vertical="center"/>
    </xf>
    <xf numFmtId="0" fontId="55" fillId="0" borderId="0" xfId="0" applyFont="1" applyFill="1" applyAlignment="1">
      <alignment horizontal="center" vertical="center"/>
    </xf>
    <xf numFmtId="0" fontId="55" fillId="0" borderId="68" xfId="0" applyFont="1" applyFill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/>
    </xf>
    <xf numFmtId="0" fontId="55" fillId="52" borderId="21" xfId="0" applyFont="1" applyFill="1" applyBorder="1" applyAlignment="1">
      <alignment horizontal="center" vertical="center"/>
    </xf>
    <xf numFmtId="0" fontId="55" fillId="52" borderId="21" xfId="0" applyNumberFormat="1" applyFont="1" applyFill="1" applyBorder="1" applyAlignment="1" applyProtection="1">
      <alignment horizontal="center" vertical="center"/>
    </xf>
    <xf numFmtId="0" fontId="55" fillId="53" borderId="21" xfId="0" applyNumberFormat="1" applyFont="1" applyFill="1" applyBorder="1" applyAlignment="1" applyProtection="1">
      <alignment horizontal="center" vertical="center"/>
    </xf>
    <xf numFmtId="0" fontId="55" fillId="53" borderId="21" xfId="0" applyFont="1" applyFill="1" applyBorder="1" applyAlignment="1">
      <alignment horizontal="center" vertical="center"/>
    </xf>
    <xf numFmtId="0" fontId="55" fillId="53" borderId="101" xfId="0" applyFont="1" applyFill="1" applyBorder="1" applyAlignment="1">
      <alignment horizontal="center" vertical="center"/>
    </xf>
    <xf numFmtId="0" fontId="55" fillId="54" borderId="21" xfId="0" applyFont="1" applyFill="1" applyBorder="1" applyAlignment="1">
      <alignment horizontal="center" vertical="center"/>
    </xf>
    <xf numFmtId="0" fontId="55" fillId="54" borderId="21" xfId="0" applyNumberFormat="1" applyFont="1" applyFill="1" applyBorder="1" applyAlignment="1" applyProtection="1">
      <alignment horizontal="center" vertical="center"/>
    </xf>
    <xf numFmtId="0" fontId="55" fillId="55" borderId="21" xfId="0" applyFont="1" applyFill="1" applyBorder="1" applyAlignment="1">
      <alignment horizontal="center" vertical="center"/>
    </xf>
    <xf numFmtId="0" fontId="55" fillId="55" borderId="21" xfId="0" applyNumberFormat="1" applyFont="1" applyFill="1" applyBorder="1" applyAlignment="1" applyProtection="1">
      <alignment horizontal="center" vertical="center"/>
    </xf>
    <xf numFmtId="0" fontId="55" fillId="56" borderId="21" xfId="0" applyFont="1" applyFill="1" applyBorder="1" applyAlignment="1">
      <alignment horizontal="center" vertical="center"/>
    </xf>
    <xf numFmtId="0" fontId="55" fillId="56" borderId="21" xfId="0" applyNumberFormat="1" applyFont="1" applyFill="1" applyBorder="1" applyAlignment="1" applyProtection="1">
      <alignment horizontal="center" vertical="center"/>
    </xf>
    <xf numFmtId="0" fontId="55" fillId="57" borderId="16" xfId="0" applyFont="1" applyFill="1" applyBorder="1" applyAlignment="1">
      <alignment horizontal="center" vertical="center"/>
    </xf>
    <xf numFmtId="0" fontId="55" fillId="17" borderId="21" xfId="0" applyNumberFormat="1" applyFont="1" applyFill="1" applyBorder="1" applyAlignment="1" applyProtection="1">
      <alignment horizontal="center" vertical="center"/>
    </xf>
    <xf numFmtId="0" fontId="55" fillId="17" borderId="21" xfId="0" applyFont="1" applyFill="1" applyBorder="1" applyAlignment="1">
      <alignment horizontal="center" vertical="center"/>
    </xf>
    <xf numFmtId="0" fontId="55" fillId="17" borderId="35" xfId="0" applyFont="1" applyFill="1" applyBorder="1" applyAlignment="1">
      <alignment horizontal="center" vertical="center"/>
    </xf>
    <xf numFmtId="0" fontId="55" fillId="17" borderId="59" xfId="0" applyFont="1" applyFill="1" applyBorder="1" applyAlignment="1">
      <alignment horizontal="center" vertical="center"/>
    </xf>
    <xf numFmtId="2" fontId="55" fillId="17" borderId="17" xfId="0" applyNumberFormat="1" applyFont="1" applyFill="1" applyBorder="1" applyAlignment="1">
      <alignment horizontal="center" vertical="center"/>
    </xf>
    <xf numFmtId="0" fontId="55" fillId="17" borderId="15" xfId="0" applyFont="1" applyFill="1" applyBorder="1" applyAlignment="1">
      <alignment horizontal="center" vertical="center"/>
    </xf>
    <xf numFmtId="0" fontId="55" fillId="17" borderId="15" xfId="0" applyFont="1" applyFill="1" applyBorder="1" applyAlignment="1" applyProtection="1">
      <alignment horizontal="center" vertical="center"/>
      <protection hidden="1"/>
    </xf>
    <xf numFmtId="0" fontId="55" fillId="22" borderId="21" xfId="0" applyNumberFormat="1" applyFont="1" applyFill="1" applyBorder="1" applyAlignment="1" applyProtection="1">
      <alignment horizontal="center" vertical="center"/>
    </xf>
    <xf numFmtId="0" fontId="55" fillId="22" borderId="21" xfId="0" applyFont="1" applyFill="1" applyBorder="1" applyAlignment="1">
      <alignment horizontal="center" vertical="center"/>
    </xf>
    <xf numFmtId="0" fontId="55" fillId="58" borderId="21" xfId="0" applyNumberFormat="1" applyFont="1" applyFill="1" applyBorder="1" applyAlignment="1" applyProtection="1">
      <alignment horizontal="center" vertical="center"/>
    </xf>
    <xf numFmtId="0" fontId="55" fillId="58" borderId="21" xfId="0" applyFont="1" applyFill="1" applyBorder="1" applyAlignment="1">
      <alignment horizontal="center" vertical="center"/>
    </xf>
    <xf numFmtId="0" fontId="55" fillId="58" borderId="15" xfId="0" applyFont="1" applyFill="1" applyBorder="1" applyAlignment="1">
      <alignment horizontal="center" vertical="center"/>
    </xf>
    <xf numFmtId="0" fontId="55" fillId="59" borderId="21" xfId="0" applyNumberFormat="1" applyFont="1" applyFill="1" applyBorder="1" applyAlignment="1" applyProtection="1">
      <alignment horizontal="center" vertical="center"/>
    </xf>
    <xf numFmtId="0" fontId="55" fillId="59" borderId="21" xfId="0" applyFont="1" applyFill="1" applyBorder="1" applyAlignment="1">
      <alignment horizontal="center" vertical="center"/>
    </xf>
    <xf numFmtId="0" fontId="55" fillId="0" borderId="5" xfId="0" applyNumberFormat="1" applyFont="1" applyFill="1" applyBorder="1" applyAlignment="1" applyProtection="1">
      <alignment horizontal="center" vertical="center"/>
    </xf>
    <xf numFmtId="2" fontId="40" fillId="0" borderId="5" xfId="0" applyNumberFormat="1" applyFont="1" applyFill="1" applyBorder="1" applyAlignment="1" applyProtection="1">
      <alignment horizontal="center" vertical="center"/>
    </xf>
    <xf numFmtId="0" fontId="40" fillId="46" borderId="21" xfId="0" applyNumberFormat="1" applyFont="1" applyFill="1" applyBorder="1" applyAlignment="1" applyProtection="1">
      <alignment horizontal="center" vertical="center"/>
    </xf>
    <xf numFmtId="0" fontId="40" fillId="46" borderId="21" xfId="0" applyNumberFormat="1" applyFont="1" applyFill="1" applyBorder="1" applyAlignment="1" applyProtection="1">
      <alignment horizontal="center" vertical="center" wrapText="1"/>
    </xf>
    <xf numFmtId="192" fontId="40" fillId="46" borderId="21" xfId="0" applyNumberFormat="1" applyFont="1" applyFill="1" applyBorder="1" applyAlignment="1" applyProtection="1">
      <alignment horizontal="center" vertical="center" wrapText="1"/>
    </xf>
    <xf numFmtId="9" fontId="62" fillId="46" borderId="21" xfId="0" applyNumberFormat="1" applyFont="1" applyFill="1" applyBorder="1" applyAlignment="1">
      <alignment horizontal="center" vertical="center"/>
    </xf>
    <xf numFmtId="2" fontId="40" fillId="46" borderId="21" xfId="0" applyNumberFormat="1" applyFont="1" applyFill="1" applyBorder="1" applyAlignment="1" applyProtection="1">
      <alignment horizontal="center" vertical="center"/>
    </xf>
    <xf numFmtId="0" fontId="40" fillId="46" borderId="17" xfId="0" applyFont="1" applyFill="1" applyBorder="1" applyAlignment="1">
      <alignment horizontal="center" vertical="center"/>
    </xf>
    <xf numFmtId="2" fontId="40" fillId="46" borderId="18" xfId="0" applyNumberFormat="1" applyFont="1" applyFill="1" applyBorder="1" applyAlignment="1">
      <alignment horizontal="center" vertical="center"/>
    </xf>
    <xf numFmtId="2" fontId="40" fillId="46" borderId="17" xfId="0" applyNumberFormat="1" applyFont="1" applyFill="1" applyBorder="1" applyAlignment="1">
      <alignment horizontal="center" vertical="center"/>
    </xf>
    <xf numFmtId="192" fontId="40" fillId="46" borderId="17" xfId="0" applyNumberFormat="1" applyFont="1" applyFill="1" applyBorder="1" applyAlignment="1">
      <alignment horizontal="center" vertical="center"/>
    </xf>
    <xf numFmtId="0" fontId="40" fillId="46" borderId="15" xfId="0" applyFont="1" applyFill="1" applyBorder="1" applyAlignment="1" applyProtection="1">
      <alignment horizontal="center" vertical="center"/>
      <protection locked="0" hidden="1"/>
    </xf>
    <xf numFmtId="2" fontId="40" fillId="22" borderId="21" xfId="0" applyNumberFormat="1" applyFont="1" applyFill="1" applyBorder="1" applyAlignment="1" applyProtection="1">
      <alignment horizontal="center" vertical="center"/>
    </xf>
    <xf numFmtId="2" fontId="63" fillId="46" borderId="15" xfId="0" applyNumberFormat="1" applyFont="1" applyFill="1" applyBorder="1" applyAlignment="1" applyProtection="1">
      <alignment horizontal="center" vertical="center"/>
      <protection hidden="1"/>
    </xf>
    <xf numFmtId="0" fontId="40" fillId="0" borderId="22" xfId="0" applyNumberFormat="1" applyFont="1" applyFill="1" applyBorder="1" applyAlignment="1" applyProtection="1">
      <alignment horizontal="center" vertical="center"/>
    </xf>
    <xf numFmtId="0" fontId="40" fillId="0" borderId="22" xfId="0" applyFont="1" applyFill="1" applyBorder="1" applyAlignment="1">
      <alignment horizontal="center" vertical="center"/>
    </xf>
    <xf numFmtId="2" fontId="40" fillId="22" borderId="102" xfId="0" applyNumberFormat="1" applyFont="1" applyFill="1" applyBorder="1" applyAlignment="1" applyProtection="1">
      <alignment horizontal="center" vertical="center"/>
    </xf>
    <xf numFmtId="192" fontId="40" fillId="22" borderId="21" xfId="0" applyNumberFormat="1" applyFont="1" applyFill="1" applyBorder="1" applyAlignment="1" applyProtection="1">
      <alignment horizontal="center" vertical="center"/>
    </xf>
    <xf numFmtId="1" fontId="40" fillId="22" borderId="21" xfId="0" applyNumberFormat="1" applyFont="1" applyFill="1" applyBorder="1" applyAlignment="1" applyProtection="1">
      <alignment horizontal="center" vertical="center"/>
    </xf>
    <xf numFmtId="1" fontId="40" fillId="22" borderId="21" xfId="0" applyNumberFormat="1" applyFont="1" applyFill="1" applyBorder="1" applyAlignment="1">
      <alignment horizontal="center" vertical="center"/>
    </xf>
    <xf numFmtId="0" fontId="55" fillId="22" borderId="102" xfId="0" applyNumberFormat="1" applyFont="1" applyFill="1" applyBorder="1" applyAlignment="1" applyProtection="1">
      <alignment horizontal="center" vertical="center"/>
    </xf>
    <xf numFmtId="1" fontId="40" fillId="0" borderId="0" xfId="0" applyNumberFormat="1" applyFont="1" applyFill="1" applyBorder="1" applyAlignment="1">
      <alignment horizontal="center" vertical="center"/>
    </xf>
    <xf numFmtId="191" fontId="40" fillId="0" borderId="0" xfId="0" applyNumberFormat="1" applyFont="1" applyFill="1" applyBorder="1" applyAlignment="1">
      <alignment horizontal="center" vertical="center"/>
    </xf>
    <xf numFmtId="0" fontId="55" fillId="0" borderId="0" xfId="0" applyFont="1" applyFill="1" applyBorder="1" applyAlignment="1">
      <alignment vertical="center"/>
    </xf>
    <xf numFmtId="0" fontId="27" fillId="7" borderId="103" xfId="0" applyFont="1" applyFill="1" applyBorder="1" applyAlignment="1">
      <alignment horizontal="center"/>
    </xf>
    <xf numFmtId="0" fontId="27" fillId="7" borderId="63" xfId="0" applyFont="1" applyFill="1" applyBorder="1" applyAlignment="1">
      <alignment horizontal="center"/>
    </xf>
    <xf numFmtId="0" fontId="27" fillId="7" borderId="104" xfId="0" applyFont="1" applyFill="1" applyBorder="1" applyAlignment="1">
      <alignment horizontal="center"/>
    </xf>
    <xf numFmtId="0" fontId="27" fillId="7" borderId="105" xfId="0" applyFont="1" applyFill="1" applyBorder="1" applyAlignment="1">
      <alignment horizontal="center"/>
    </xf>
    <xf numFmtId="0" fontId="27" fillId="7" borderId="106" xfId="0" applyFont="1" applyFill="1" applyBorder="1" applyAlignment="1">
      <alignment horizontal="center"/>
    </xf>
    <xf numFmtId="0" fontId="63" fillId="0" borderId="106" xfId="0" applyFont="1" applyBorder="1" applyAlignment="1">
      <alignment horizontal="center"/>
    </xf>
    <xf numFmtId="0" fontId="64" fillId="0" borderId="104" xfId="0" applyFont="1" applyFill="1" applyBorder="1" applyAlignment="1">
      <alignment horizontal="center"/>
    </xf>
    <xf numFmtId="2" fontId="28" fillId="7" borderId="107" xfId="0" applyNumberFormat="1" applyFont="1" applyFill="1" applyBorder="1" applyAlignment="1">
      <alignment horizontal="center" vertical="center" wrapText="1"/>
    </xf>
    <xf numFmtId="2" fontId="28" fillId="7" borderId="108" xfId="0" applyNumberFormat="1" applyFont="1" applyFill="1" applyBorder="1" applyAlignment="1">
      <alignment horizontal="center" vertical="center" wrapText="1"/>
    </xf>
    <xf numFmtId="0" fontId="28" fillId="11" borderId="108" xfId="0" applyFont="1" applyFill="1" applyBorder="1" applyAlignment="1">
      <alignment horizontal="center" vertical="center" wrapText="1"/>
    </xf>
    <xf numFmtId="0" fontId="29" fillId="12" borderId="108" xfId="0" applyFont="1" applyFill="1" applyBorder="1" applyAlignment="1">
      <alignment horizontal="center" vertical="center"/>
    </xf>
    <xf numFmtId="0" fontId="29" fillId="12" borderId="107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 wrapText="1"/>
    </xf>
    <xf numFmtId="188" fontId="28" fillId="7" borderId="108" xfId="0" applyNumberFormat="1" applyFont="1" applyFill="1" applyBorder="1" applyAlignment="1">
      <alignment horizontal="center" vertical="center" wrapText="1"/>
    </xf>
    <xf numFmtId="2" fontId="28" fillId="7" borderId="38" xfId="0" applyNumberFormat="1" applyFont="1" applyFill="1" applyBorder="1" applyAlignment="1">
      <alignment horizontal="center" vertical="center" wrapText="1"/>
    </xf>
    <xf numFmtId="0" fontId="65" fillId="0" borderId="38" xfId="0" applyFont="1" applyBorder="1" applyAlignment="1">
      <alignment horizontal="center" vertical="center"/>
    </xf>
    <xf numFmtId="0" fontId="65" fillId="0" borderId="107" xfId="0" applyFont="1" applyFill="1" applyBorder="1" applyAlignment="1">
      <alignment horizontal="center" vertical="center"/>
    </xf>
    <xf numFmtId="0" fontId="65" fillId="0" borderId="107" xfId="0" applyFont="1" applyBorder="1" applyAlignment="1">
      <alignment horizontal="center" vertical="center"/>
    </xf>
    <xf numFmtId="2" fontId="28" fillId="7" borderId="109" xfId="0" applyNumberFormat="1" applyFont="1" applyFill="1" applyBorder="1" applyAlignment="1">
      <alignment horizontal="center" vertical="center" wrapText="1"/>
    </xf>
    <xf numFmtId="2" fontId="28" fillId="7" borderId="110" xfId="0" applyNumberFormat="1" applyFont="1" applyFill="1" applyBorder="1" applyAlignment="1">
      <alignment horizontal="center" vertical="center" wrapText="1"/>
    </xf>
    <xf numFmtId="198" fontId="28" fillId="11" borderId="110" xfId="0" applyNumberFormat="1" applyFont="1" applyFill="1" applyBorder="1" applyAlignment="1">
      <alignment horizontal="center" vertical="center" wrapText="1"/>
    </xf>
    <xf numFmtId="2" fontId="29" fillId="12" borderId="110" xfId="0" applyNumberFormat="1" applyFont="1" applyFill="1" applyBorder="1" applyAlignment="1">
      <alignment horizontal="center" vertical="center"/>
    </xf>
    <xf numFmtId="0" fontId="29" fillId="12" borderId="109" xfId="0" applyFont="1" applyFill="1" applyBorder="1" applyAlignment="1">
      <alignment horizontal="center" vertical="center"/>
    </xf>
    <xf numFmtId="0" fontId="28" fillId="11" borderId="110" xfId="0" applyFont="1" applyFill="1" applyBorder="1" applyAlignment="1">
      <alignment horizontal="center" vertical="center" wrapText="1"/>
    </xf>
    <xf numFmtId="0" fontId="28" fillId="11" borderId="109" xfId="0" applyFont="1" applyFill="1" applyBorder="1" applyAlignment="1">
      <alignment horizontal="center" vertical="center" wrapText="1"/>
    </xf>
    <xf numFmtId="2" fontId="28" fillId="7" borderId="111" xfId="0" applyNumberFormat="1" applyFont="1" applyFill="1" applyBorder="1" applyAlignment="1">
      <alignment horizontal="center" vertical="center" wrapText="1"/>
    </xf>
    <xf numFmtId="0" fontId="65" fillId="0" borderId="112" xfId="0" applyFont="1" applyBorder="1" applyAlignment="1">
      <alignment horizontal="center" vertical="center"/>
    </xf>
    <xf numFmtId="0" fontId="65" fillId="0" borderId="109" xfId="0" applyFont="1" applyFill="1" applyBorder="1" applyAlignment="1">
      <alignment horizontal="center" vertical="center"/>
    </xf>
    <xf numFmtId="0" fontId="27" fillId="7" borderId="113" xfId="0" applyFont="1" applyFill="1" applyBorder="1" applyAlignment="1">
      <alignment horizontal="center"/>
    </xf>
    <xf numFmtId="0" fontId="63" fillId="0" borderId="104" xfId="0" applyFont="1" applyBorder="1" applyAlignment="1">
      <alignment horizontal="center"/>
    </xf>
    <xf numFmtId="0" fontId="64" fillId="0" borderId="114" xfId="0" applyFont="1" applyFill="1" applyBorder="1" applyAlignment="1">
      <alignment horizontal="center"/>
    </xf>
    <xf numFmtId="198" fontId="29" fillId="12" borderId="38" xfId="0" applyNumberFormat="1" applyFont="1" applyFill="1" applyBorder="1" applyAlignment="1">
      <alignment horizontal="center" vertical="center"/>
    </xf>
    <xf numFmtId="198" fontId="28" fillId="11" borderId="108" xfId="0" applyNumberFormat="1" applyFont="1" applyFill="1" applyBorder="1" applyAlignment="1">
      <alignment horizontal="center" vertical="center" wrapText="1"/>
    </xf>
    <xf numFmtId="198" fontId="29" fillId="12" borderId="108" xfId="0" applyNumberFormat="1" applyFont="1" applyFill="1" applyBorder="1" applyAlignment="1">
      <alignment horizontal="center" vertical="center"/>
    </xf>
    <xf numFmtId="0" fontId="65" fillId="0" borderId="115" xfId="0" applyFont="1" applyFill="1" applyBorder="1" applyAlignment="1">
      <alignment horizontal="center" vertical="center"/>
    </xf>
    <xf numFmtId="0" fontId="29" fillId="12" borderId="38" xfId="0" applyFont="1" applyFill="1" applyBorder="1" applyAlignment="1">
      <alignment horizontal="center" vertical="center"/>
    </xf>
    <xf numFmtId="0" fontId="29" fillId="12" borderId="112" xfId="0" applyFont="1" applyFill="1" applyBorder="1" applyAlignment="1">
      <alignment horizontal="center" vertical="center"/>
    </xf>
    <xf numFmtId="0" fontId="29" fillId="7" borderId="109" xfId="0" applyFont="1" applyFill="1" applyBorder="1" applyAlignment="1">
      <alignment horizontal="center"/>
    </xf>
    <xf numFmtId="0" fontId="29" fillId="12" borderId="110" xfId="0" applyFont="1" applyFill="1" applyBorder="1" applyAlignment="1">
      <alignment horizontal="center" vertical="center"/>
    </xf>
    <xf numFmtId="2" fontId="28" fillId="7" borderId="116" xfId="0" applyNumberFormat="1" applyFont="1" applyFill="1" applyBorder="1" applyAlignment="1">
      <alignment horizontal="center" vertical="center" wrapText="1"/>
    </xf>
    <xf numFmtId="0" fontId="28" fillId="11" borderId="116" xfId="0" applyFont="1" applyFill="1" applyBorder="1" applyAlignment="1">
      <alignment horizontal="center" vertical="center" wrapText="1"/>
    </xf>
    <xf numFmtId="2" fontId="65" fillId="0" borderId="109" xfId="0" applyNumberFormat="1" applyFont="1" applyBorder="1" applyAlignment="1">
      <alignment horizontal="center" vertical="center"/>
    </xf>
    <xf numFmtId="0" fontId="65" fillId="0" borderId="117" xfId="0" applyFont="1" applyBorder="1" applyAlignment="1">
      <alignment horizontal="center" vertical="center"/>
    </xf>
    <xf numFmtId="0" fontId="23" fillId="0" borderId="0" xfId="0" applyFont="1" applyFill="1" applyBorder="1" applyAlignment="1"/>
    <xf numFmtId="2" fontId="8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Border="1" applyAlignment="1"/>
    <xf numFmtId="0" fontId="8" fillId="0" borderId="0" xfId="0" applyFont="1" applyBorder="1" applyAlignment="1">
      <alignment horizontal="center"/>
    </xf>
    <xf numFmtId="0" fontId="21" fillId="0" borderId="0" xfId="0" applyFont="1" applyAlignment="1"/>
    <xf numFmtId="0" fontId="17" fillId="0" borderId="0" xfId="0" applyFont="1" applyFill="1" applyBorder="1" applyAlignment="1"/>
    <xf numFmtId="0" fontId="28" fillId="11" borderId="38" xfId="0" applyFont="1" applyFill="1" applyBorder="1" applyAlignment="1">
      <alignment horizontal="center" vertical="center" wrapText="1"/>
    </xf>
    <xf numFmtId="0" fontId="17" fillId="0" borderId="0" xfId="0" applyFont="1" applyBorder="1" applyAlignment="1"/>
    <xf numFmtId="2" fontId="3" fillId="0" borderId="0" xfId="0" applyNumberFormat="1" applyFont="1" applyBorder="1" applyAlignment="1">
      <alignment horizontal="center" vertical="center" wrapText="1"/>
    </xf>
    <xf numFmtId="0" fontId="22" fillId="0" borderId="0" xfId="0" applyFont="1" applyAlignment="1"/>
    <xf numFmtId="0" fontId="22" fillId="0" borderId="0" xfId="0" applyFont="1" applyFill="1" applyAlignment="1"/>
    <xf numFmtId="0" fontId="30" fillId="7" borderId="104" xfId="0" applyFont="1" applyFill="1" applyBorder="1" applyAlignment="1">
      <alignment horizontal="center"/>
    </xf>
    <xf numFmtId="0" fontId="30" fillId="7" borderId="105" xfId="0" applyFont="1" applyFill="1" applyBorder="1" applyAlignment="1">
      <alignment horizontal="center"/>
    </xf>
    <xf numFmtId="0" fontId="29" fillId="7" borderId="107" xfId="0" applyFont="1" applyFill="1" applyBorder="1" applyAlignment="1">
      <alignment horizontal="center" vertical="center"/>
    </xf>
    <xf numFmtId="0" fontId="29" fillId="7" borderId="108" xfId="0" applyFont="1" applyFill="1" applyBorder="1" applyAlignment="1">
      <alignment horizontal="center" vertical="center"/>
    </xf>
    <xf numFmtId="0" fontId="29" fillId="13" borderId="107" xfId="0" applyFont="1" applyFill="1" applyBorder="1" applyAlignment="1">
      <alignment horizontal="center" vertical="center"/>
    </xf>
    <xf numFmtId="0" fontId="29" fillId="13" borderId="108" xfId="0" applyFont="1" applyFill="1" applyBorder="1" applyAlignment="1">
      <alignment horizontal="center" vertical="center"/>
    </xf>
    <xf numFmtId="0" fontId="29" fillId="11" borderId="107" xfId="0" applyFont="1" applyFill="1" applyBorder="1" applyAlignment="1">
      <alignment horizontal="center" vertical="center"/>
    </xf>
    <xf numFmtId="2" fontId="29" fillId="11" borderId="107" xfId="0" applyNumberFormat="1" applyFont="1" applyFill="1" applyBorder="1" applyAlignment="1">
      <alignment horizontal="center" vertical="center"/>
    </xf>
    <xf numFmtId="2" fontId="29" fillId="7" borderId="108" xfId="0" applyNumberFormat="1" applyFont="1" applyFill="1" applyBorder="1" applyAlignment="1">
      <alignment horizontal="center" vertical="center"/>
    </xf>
    <xf numFmtId="2" fontId="29" fillId="7" borderId="107" xfId="0" applyNumberFormat="1" applyFont="1" applyFill="1" applyBorder="1" applyAlignment="1">
      <alignment horizontal="center" vertical="center"/>
    </xf>
    <xf numFmtId="0" fontId="29" fillId="7" borderId="109" xfId="0" applyFont="1" applyFill="1" applyBorder="1" applyAlignment="1">
      <alignment horizontal="center" vertical="center"/>
    </xf>
    <xf numFmtId="2" fontId="29" fillId="7" borderId="110" xfId="0" applyNumberFormat="1" applyFont="1" applyFill="1" applyBorder="1" applyAlignment="1">
      <alignment horizontal="center" vertical="center"/>
    </xf>
    <xf numFmtId="0" fontId="29" fillId="13" borderId="109" xfId="0" applyFont="1" applyFill="1" applyBorder="1" applyAlignment="1">
      <alignment horizontal="center" vertical="center"/>
    </xf>
    <xf numFmtId="0" fontId="29" fillId="13" borderId="110" xfId="0" applyFont="1" applyFill="1" applyBorder="1" applyAlignment="1">
      <alignment horizontal="center" vertical="center"/>
    </xf>
    <xf numFmtId="0" fontId="29" fillId="12" borderId="118" xfId="0" applyFont="1" applyFill="1" applyBorder="1" applyAlignment="1">
      <alignment horizontal="center" vertical="center"/>
    </xf>
    <xf numFmtId="0" fontId="29" fillId="7" borderId="110" xfId="0" applyFont="1" applyFill="1" applyBorder="1" applyAlignment="1">
      <alignment horizontal="center" vertical="center"/>
    </xf>
    <xf numFmtId="0" fontId="29" fillId="11" borderId="118" xfId="0" applyFont="1" applyFill="1" applyBorder="1" applyAlignment="1">
      <alignment horizontal="center" vertical="center"/>
    </xf>
    <xf numFmtId="2" fontId="29" fillId="11" borderId="109" xfId="0" applyNumberFormat="1" applyFont="1" applyFill="1" applyBorder="1" applyAlignment="1">
      <alignment horizontal="center" vertical="center"/>
    </xf>
    <xf numFmtId="2" fontId="29" fillId="7" borderId="109" xfId="0" applyNumberFormat="1" applyFont="1" applyFill="1" applyBorder="1" applyAlignment="1">
      <alignment horizontal="center" vertical="center"/>
    </xf>
    <xf numFmtId="0" fontId="30" fillId="7" borderId="113" xfId="0" applyFont="1" applyFill="1" applyBorder="1" applyAlignment="1">
      <alignment horizontal="center"/>
    </xf>
    <xf numFmtId="0" fontId="27" fillId="7" borderId="119" xfId="0" applyFont="1" applyFill="1" applyBorder="1" applyAlignment="1">
      <alignment horizontal="center"/>
    </xf>
    <xf numFmtId="0" fontId="29" fillId="7" borderId="38" xfId="0" applyFont="1" applyFill="1" applyBorder="1" applyAlignment="1">
      <alignment horizontal="center" vertical="center"/>
    </xf>
    <xf numFmtId="2" fontId="29" fillId="13" borderId="108" xfId="0" applyNumberFormat="1" applyFont="1" applyFill="1" applyBorder="1" applyAlignment="1">
      <alignment horizontal="center" vertical="center"/>
    </xf>
    <xf numFmtId="2" fontId="29" fillId="13" borderId="38" xfId="0" applyNumberFormat="1" applyFont="1" applyFill="1" applyBorder="1" applyAlignment="1">
      <alignment horizontal="center" vertical="center"/>
    </xf>
    <xf numFmtId="2" fontId="29" fillId="12" borderId="107" xfId="0" applyNumberFormat="1" applyFont="1" applyFill="1" applyBorder="1" applyAlignment="1">
      <alignment horizontal="center" vertical="center"/>
    </xf>
    <xf numFmtId="2" fontId="29" fillId="7" borderId="38" xfId="0" applyNumberFormat="1" applyFont="1" applyFill="1" applyBorder="1" applyAlignment="1">
      <alignment horizontal="center" vertical="center"/>
    </xf>
    <xf numFmtId="2" fontId="29" fillId="11" borderId="108" xfId="0" applyNumberFormat="1" applyFont="1" applyFill="1" applyBorder="1" applyAlignment="1">
      <alignment horizontal="center" vertical="center"/>
    </xf>
    <xf numFmtId="2" fontId="29" fillId="7" borderId="115" xfId="0" applyNumberFormat="1" applyFont="1" applyFill="1" applyBorder="1" applyAlignment="1">
      <alignment horizontal="center" vertical="center"/>
    </xf>
    <xf numFmtId="2" fontId="29" fillId="7" borderId="111" xfId="0" applyNumberFormat="1" applyFont="1" applyFill="1" applyBorder="1" applyAlignment="1">
      <alignment horizontal="center" vertical="center"/>
    </xf>
    <xf numFmtId="2" fontId="29" fillId="7" borderId="116" xfId="0" applyNumberFormat="1" applyFont="1" applyFill="1" applyBorder="1" applyAlignment="1">
      <alignment horizontal="center" vertical="center"/>
    </xf>
    <xf numFmtId="2" fontId="29" fillId="13" borderId="110" xfId="0" applyNumberFormat="1" applyFont="1" applyFill="1" applyBorder="1" applyAlignment="1">
      <alignment horizontal="center" vertical="center"/>
    </xf>
    <xf numFmtId="2" fontId="29" fillId="13" borderId="112" xfId="0" applyNumberFormat="1" applyFont="1" applyFill="1" applyBorder="1" applyAlignment="1">
      <alignment horizontal="center" vertical="center"/>
    </xf>
    <xf numFmtId="2" fontId="29" fillId="12" borderId="118" xfId="0" applyNumberFormat="1" applyFont="1" applyFill="1" applyBorder="1" applyAlignment="1">
      <alignment horizontal="center" vertical="center"/>
    </xf>
    <xf numFmtId="2" fontId="29" fillId="11" borderId="116" xfId="0" applyNumberFormat="1" applyFont="1" applyFill="1" applyBorder="1" applyAlignment="1">
      <alignment horizontal="center" vertical="center"/>
    </xf>
    <xf numFmtId="2" fontId="29" fillId="7" borderId="117" xfId="0" applyNumberFormat="1" applyFont="1" applyFill="1" applyBorder="1" applyAlignment="1">
      <alignment horizontal="center" vertical="center"/>
    </xf>
    <xf numFmtId="0" fontId="30" fillId="7" borderId="103" xfId="0" applyFont="1" applyFill="1" applyBorder="1" applyAlignment="1">
      <alignment horizontal="center" vertical="center"/>
    </xf>
    <xf numFmtId="0" fontId="30" fillId="0" borderId="0" xfId="0" applyFont="1" applyFill="1" applyBorder="1" applyAlignment="1"/>
    <xf numFmtId="0" fontId="8" fillId="0" borderId="0" xfId="0" applyFont="1" applyFill="1" applyBorder="1" applyAlignment="1">
      <alignment horizontal="center"/>
    </xf>
    <xf numFmtId="0" fontId="29" fillId="0" borderId="0" xfId="0" applyFont="1" applyFill="1" applyBorder="1" applyAlignment="1"/>
    <xf numFmtId="2" fontId="29" fillId="12" borderId="38" xfId="0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2" fontId="29" fillId="11" borderId="115" xfId="0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 wrapText="1"/>
    </xf>
    <xf numFmtId="2" fontId="29" fillId="13" borderId="111" xfId="0" applyNumberFormat="1" applyFont="1" applyFill="1" applyBorder="1" applyAlignment="1">
      <alignment horizontal="center" vertical="center"/>
    </xf>
    <xf numFmtId="2" fontId="29" fillId="12" borderId="111" xfId="0" applyNumberFormat="1" applyFont="1" applyFill="1" applyBorder="1" applyAlignment="1">
      <alignment horizontal="center" vertical="center"/>
    </xf>
    <xf numFmtId="2" fontId="29" fillId="12" borderId="109" xfId="0" applyNumberFormat="1" applyFont="1" applyFill="1" applyBorder="1" applyAlignment="1">
      <alignment horizontal="center" vertical="center"/>
    </xf>
    <xf numFmtId="198" fontId="17" fillId="0" borderId="0" xfId="0" applyNumberFormat="1" applyFont="1" applyFill="1" applyBorder="1" applyAlignment="1">
      <alignment horizontal="center" vertical="center"/>
    </xf>
    <xf numFmtId="2" fontId="29" fillId="11" borderId="117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/>
    <xf numFmtId="0" fontId="0" fillId="0" borderId="0" xfId="0" applyFill="1">
      <alignment vertical="center"/>
    </xf>
    <xf numFmtId="0" fontId="0" fillId="60" borderId="16" xfId="0" applyFill="1" applyBorder="1" applyAlignment="1">
      <alignment horizontal="center" vertical="center"/>
    </xf>
    <xf numFmtId="0" fontId="0" fillId="29" borderId="50" xfId="0" applyFill="1" applyBorder="1" applyAlignment="1">
      <alignment horizontal="center" vertical="center"/>
    </xf>
    <xf numFmtId="0" fontId="10" fillId="29" borderId="120" xfId="0" applyFont="1" applyFill="1" applyBorder="1" applyAlignment="1">
      <alignment horizontal="center" vertical="center"/>
    </xf>
    <xf numFmtId="0" fontId="0" fillId="29" borderId="120" xfId="0" applyFill="1" applyBorder="1" applyAlignment="1">
      <alignment horizontal="center" vertical="center"/>
    </xf>
    <xf numFmtId="0" fontId="0" fillId="29" borderId="121" xfId="0" applyFill="1" applyBorder="1" applyAlignment="1">
      <alignment horizontal="center" vertical="center"/>
    </xf>
    <xf numFmtId="0" fontId="66" fillId="0" borderId="0" xfId="0" applyFont="1" applyFill="1" applyBorder="1" applyAlignment="1">
      <alignment horizontal="center"/>
    </xf>
    <xf numFmtId="0" fontId="0" fillId="29" borderId="30" xfId="0" applyFill="1" applyBorder="1" applyAlignment="1">
      <alignment horizontal="center" vertical="center"/>
    </xf>
    <xf numFmtId="0" fontId="10" fillId="29" borderId="19" xfId="0" applyFont="1" applyFill="1" applyBorder="1" applyAlignment="1">
      <alignment horizontal="center" vertical="center"/>
    </xf>
    <xf numFmtId="0" fontId="0" fillId="29" borderId="19" xfId="0" applyFill="1" applyBorder="1" applyAlignment="1">
      <alignment horizontal="center" vertical="center"/>
    </xf>
    <xf numFmtId="0" fontId="0" fillId="29" borderId="31" xfId="0" applyFill="1" applyBorder="1" applyAlignment="1">
      <alignment horizontal="center" vertical="center"/>
    </xf>
    <xf numFmtId="0" fontId="0" fillId="29" borderId="54" xfId="0" applyFill="1" applyBorder="1" applyAlignment="1">
      <alignment horizontal="center" vertical="center"/>
    </xf>
    <xf numFmtId="0" fontId="10" fillId="29" borderId="122" xfId="0" applyFont="1" applyFill="1" applyBorder="1" applyAlignment="1">
      <alignment horizontal="center" vertical="center"/>
    </xf>
    <xf numFmtId="0" fontId="0" fillId="29" borderId="122" xfId="0" applyFill="1" applyBorder="1" applyAlignment="1">
      <alignment horizontal="center" vertical="center"/>
    </xf>
    <xf numFmtId="0" fontId="0" fillId="29" borderId="123" xfId="0" applyFill="1" applyBorder="1" applyAlignment="1">
      <alignment horizontal="center" vertical="center"/>
    </xf>
    <xf numFmtId="0" fontId="0" fillId="29" borderId="24" xfId="0" applyFill="1" applyBorder="1" applyAlignment="1">
      <alignment horizontal="center" vertical="center"/>
    </xf>
    <xf numFmtId="0" fontId="10" fillId="29" borderId="25" xfId="0" applyFont="1" applyFill="1" applyBorder="1" applyAlignment="1">
      <alignment horizontal="center" vertical="center"/>
    </xf>
    <xf numFmtId="0" fontId="0" fillId="29" borderId="25" xfId="0" applyFill="1" applyBorder="1" applyAlignment="1">
      <alignment horizontal="center" vertical="center"/>
    </xf>
    <xf numFmtId="0" fontId="0" fillId="29" borderId="26" xfId="0" applyFill="1" applyBorder="1" applyAlignment="1">
      <alignment horizontal="center" vertical="center"/>
    </xf>
    <xf numFmtId="0" fontId="0" fillId="0" borderId="0" xfId="0" applyFill="1" applyBorder="1" applyAlignment="1"/>
    <xf numFmtId="0" fontId="67" fillId="0" borderId="0" xfId="0" applyFont="1" applyFill="1" applyBorder="1" applyAlignment="1"/>
    <xf numFmtId="0" fontId="67" fillId="0" borderId="0" xfId="0" applyFont="1" applyFill="1" applyBorder="1">
      <alignment vertical="center"/>
    </xf>
    <xf numFmtId="0" fontId="0" fillId="29" borderId="124" xfId="0" applyFill="1" applyBorder="1" applyAlignment="1">
      <alignment horizontal="center" vertical="center"/>
    </xf>
    <xf numFmtId="0" fontId="10" fillId="29" borderId="37" xfId="0" applyFont="1" applyFill="1" applyBorder="1" applyAlignment="1">
      <alignment horizontal="center" vertical="center"/>
    </xf>
    <xf numFmtId="0" fontId="0" fillId="29" borderId="37" xfId="0" applyFill="1" applyBorder="1" applyAlignment="1">
      <alignment horizontal="center" vertical="center"/>
    </xf>
    <xf numFmtId="0" fontId="0" fillId="29" borderId="125" xfId="0" applyFill="1" applyBorder="1" applyAlignment="1">
      <alignment horizontal="center" vertical="center"/>
    </xf>
    <xf numFmtId="0" fontId="67" fillId="0" borderId="0" xfId="0" applyFont="1" applyFill="1" applyAlignment="1"/>
    <xf numFmtId="0" fontId="32" fillId="0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0" fillId="60" borderId="15" xfId="0" applyFill="1" applyBorder="1" applyAlignment="1">
      <alignment horizontal="center" vertical="center"/>
    </xf>
    <xf numFmtId="0" fontId="0" fillId="29" borderId="120" xfId="0" applyFont="1" applyFill="1" applyBorder="1" applyAlignment="1">
      <alignment horizontal="center" vertical="center"/>
    </xf>
    <xf numFmtId="0" fontId="0" fillId="29" borderId="121" xfId="0" applyFont="1" applyFill="1" applyBorder="1" applyAlignment="1">
      <alignment horizontal="center" vertical="center"/>
    </xf>
    <xf numFmtId="1" fontId="10" fillId="29" borderId="120" xfId="0" applyNumberFormat="1" applyFont="1" applyFill="1" applyBorder="1" applyAlignment="1">
      <alignment horizontal="center" vertical="center"/>
    </xf>
    <xf numFmtId="0" fontId="31" fillId="0" borderId="0" xfId="0" applyFont="1" applyFill="1" applyBorder="1" applyAlignment="1"/>
    <xf numFmtId="0" fontId="0" fillId="0" borderId="0" xfId="0" applyFill="1" applyAlignment="1">
      <alignment horizontal="center"/>
    </xf>
    <xf numFmtId="9" fontId="0" fillId="0" borderId="0" xfId="0" applyNumberFormat="1" applyFill="1" applyAlignment="1"/>
    <xf numFmtId="0" fontId="40" fillId="0" borderId="12" xfId="0" applyFont="1" applyFill="1" applyBorder="1">
      <alignment vertical="center"/>
    </xf>
    <xf numFmtId="2" fontId="40" fillId="0" borderId="12" xfId="0" applyNumberFormat="1" applyFont="1" applyFill="1" applyBorder="1" applyAlignment="1"/>
    <xf numFmtId="2" fontId="40" fillId="0" borderId="12" xfId="0" applyNumberFormat="1" applyFont="1" applyFill="1" applyBorder="1">
      <alignment vertical="center"/>
    </xf>
    <xf numFmtId="2" fontId="40" fillId="0" borderId="13" xfId="0" applyNumberFormat="1" applyFont="1" applyFill="1" applyBorder="1">
      <alignment vertical="center"/>
    </xf>
    <xf numFmtId="2" fontId="40" fillId="0" borderId="0" xfId="0" applyNumberFormat="1" applyFont="1" applyFill="1" applyAlignment="1"/>
    <xf numFmtId="2" fontId="40" fillId="0" borderId="0" xfId="0" applyNumberFormat="1" applyFont="1" applyFill="1">
      <alignment vertical="center"/>
    </xf>
    <xf numFmtId="2" fontId="40" fillId="0" borderId="14" xfId="0" applyNumberFormat="1" applyFont="1" applyFill="1" applyBorder="1">
      <alignment vertical="center"/>
    </xf>
    <xf numFmtId="2" fontId="40" fillId="0" borderId="14" xfId="0" applyNumberFormat="1" applyFont="1" applyFill="1" applyBorder="1" applyAlignment="1"/>
    <xf numFmtId="192" fontId="40" fillId="0" borderId="22" xfId="0" applyNumberFormat="1" applyFont="1" applyFill="1" applyBorder="1">
      <alignment vertical="center"/>
    </xf>
    <xf numFmtId="192" fontId="40" fillId="0" borderId="0" xfId="0" applyNumberFormat="1" applyFont="1" applyFill="1" applyAlignment="1"/>
    <xf numFmtId="2" fontId="40" fillId="0" borderId="0" xfId="0" applyNumberFormat="1" applyFont="1" applyFill="1" applyBorder="1" applyAlignment="1"/>
    <xf numFmtId="0" fontId="40" fillId="0" borderId="67" xfId="0" applyFont="1" applyFill="1" applyBorder="1">
      <alignment vertical="center"/>
    </xf>
    <xf numFmtId="0" fontId="40" fillId="0" borderId="18" xfId="0" applyFont="1" applyFill="1" applyBorder="1">
      <alignment vertical="center"/>
    </xf>
    <xf numFmtId="2" fontId="40" fillId="0" borderId="0" xfId="0" applyNumberFormat="1" applyFont="1" applyFill="1" applyBorder="1" applyAlignment="1">
      <alignment horizontal="center"/>
    </xf>
    <xf numFmtId="2" fontId="40" fillId="0" borderId="0" xfId="0" applyNumberFormat="1" applyFont="1" applyFill="1" applyBorder="1" applyAlignment="1">
      <alignment vertical="center"/>
    </xf>
    <xf numFmtId="2" fontId="40" fillId="0" borderId="67" xfId="0" applyNumberFormat="1" applyFont="1" applyFill="1" applyBorder="1" applyAlignment="1">
      <alignment vertical="center"/>
    </xf>
    <xf numFmtId="0" fontId="40" fillId="0" borderId="65" xfId="0" applyFont="1" applyFill="1" applyBorder="1">
      <alignment vertical="center"/>
    </xf>
    <xf numFmtId="2" fontId="40" fillId="0" borderId="65" xfId="0" applyNumberFormat="1" applyFont="1" applyFill="1" applyBorder="1">
      <alignment vertical="center"/>
    </xf>
    <xf numFmtId="192" fontId="40" fillId="0" borderId="100" xfId="0" applyNumberFormat="1" applyFont="1" applyFill="1" applyBorder="1">
      <alignment vertical="center"/>
    </xf>
    <xf numFmtId="192" fontId="40" fillId="0" borderId="14" xfId="0" applyNumberFormat="1" applyFont="1" applyFill="1" applyBorder="1">
      <alignment vertical="center"/>
    </xf>
    <xf numFmtId="2" fontId="40" fillId="0" borderId="67" xfId="0" applyNumberFormat="1" applyFont="1" applyFill="1" applyBorder="1">
      <alignment vertical="center"/>
    </xf>
    <xf numFmtId="2" fontId="40" fillId="0" borderId="65" xfId="0" applyNumberFormat="1" applyFont="1" applyFill="1" applyBorder="1" applyAlignment="1"/>
    <xf numFmtId="2" fontId="40" fillId="0" borderId="0" xfId="0" applyNumberFormat="1" applyFont="1" applyFill="1" applyBorder="1">
      <alignment vertical="center"/>
    </xf>
    <xf numFmtId="2" fontId="40" fillId="0" borderId="39" xfId="0" applyNumberFormat="1" applyFont="1" applyFill="1" applyBorder="1">
      <alignment vertical="center"/>
    </xf>
    <xf numFmtId="2" fontId="40" fillId="0" borderId="22" xfId="0" applyNumberFormat="1" applyFont="1" applyFill="1" applyBorder="1" applyAlignment="1"/>
    <xf numFmtId="2" fontId="40" fillId="0" borderId="100" xfId="0" applyNumberFormat="1" applyFont="1" applyFill="1" applyBorder="1">
      <alignment vertical="center"/>
    </xf>
    <xf numFmtId="0" fontId="40" fillId="0" borderId="39" xfId="0" applyFont="1" applyFill="1" applyBorder="1" applyAlignment="1"/>
    <xf numFmtId="2" fontId="40" fillId="0" borderId="22" xfId="0" applyNumberFormat="1" applyFont="1" applyFill="1" applyBorder="1">
      <alignment vertical="center"/>
    </xf>
    <xf numFmtId="2" fontId="40" fillId="0" borderId="13" xfId="0" applyNumberFormat="1" applyFont="1" applyFill="1" applyBorder="1" applyAlignment="1"/>
    <xf numFmtId="2" fontId="40" fillId="0" borderId="126" xfId="0" applyNumberFormat="1" applyFont="1" applyFill="1" applyBorder="1">
      <alignment vertical="center"/>
    </xf>
    <xf numFmtId="192" fontId="40" fillId="0" borderId="14" xfId="0" applyNumberFormat="1" applyFont="1" applyFill="1" applyBorder="1" applyAlignment="1"/>
    <xf numFmtId="2" fontId="40" fillId="0" borderId="127" xfId="0" applyNumberFormat="1" applyFont="1" applyFill="1" applyBorder="1" applyAlignment="1"/>
    <xf numFmtId="2" fontId="40" fillId="0" borderId="67" xfId="0" applyNumberFormat="1" applyFont="1" applyFill="1" applyBorder="1" applyAlignment="1"/>
    <xf numFmtId="0" fontId="40" fillId="0" borderId="0" xfId="0" applyFont="1" applyFill="1" applyAlignment="1"/>
    <xf numFmtId="0" fontId="40" fillId="0" borderId="128" xfId="0" applyFont="1" applyFill="1" applyBorder="1">
      <alignment vertical="center"/>
    </xf>
    <xf numFmtId="1" fontId="40" fillId="0" borderId="68" xfId="0" applyNumberFormat="1" applyFont="1" applyFill="1" applyBorder="1" applyAlignment="1" applyProtection="1">
      <alignment horizontal="center" vertical="center"/>
    </xf>
    <xf numFmtId="1" fontId="40" fillId="0" borderId="84" xfId="0" applyNumberFormat="1" applyFont="1" applyFill="1" applyBorder="1" applyAlignment="1" applyProtection="1">
      <alignment horizontal="center" vertical="center"/>
    </xf>
    <xf numFmtId="0" fontId="40" fillId="0" borderId="129" xfId="0" applyFont="1" applyFill="1" applyBorder="1">
      <alignment vertical="center"/>
    </xf>
    <xf numFmtId="0" fontId="40" fillId="0" borderId="130" xfId="0" applyFont="1" applyFill="1" applyBorder="1">
      <alignment vertical="center"/>
    </xf>
    <xf numFmtId="0" fontId="40" fillId="0" borderId="62" xfId="0" applyFont="1" applyFill="1" applyBorder="1">
      <alignment vertical="center"/>
    </xf>
    <xf numFmtId="192" fontId="40" fillId="0" borderId="0" xfId="0" applyNumberFormat="1" applyFont="1" applyFill="1" applyBorder="1" applyAlignment="1"/>
    <xf numFmtId="192" fontId="40" fillId="0" borderId="65" xfId="0" applyNumberFormat="1" applyFont="1" applyFill="1" applyBorder="1" applyAlignment="1"/>
    <xf numFmtId="192" fontId="40" fillId="0" borderId="65" xfId="0" applyNumberFormat="1" applyFont="1" applyFill="1" applyBorder="1">
      <alignment vertical="center"/>
    </xf>
    <xf numFmtId="2" fontId="40" fillId="0" borderId="8" xfId="0" applyNumberFormat="1" applyFont="1" applyFill="1" applyBorder="1">
      <alignment vertical="center"/>
    </xf>
    <xf numFmtId="2" fontId="40" fillId="0" borderId="130" xfId="0" applyNumberFormat="1" applyFont="1" applyFill="1" applyBorder="1">
      <alignment vertical="center"/>
    </xf>
    <xf numFmtId="2" fontId="40" fillId="0" borderId="62" xfId="0" applyNumberFormat="1" applyFont="1" applyFill="1" applyBorder="1" applyAlignment="1">
      <alignment horizontal="center"/>
    </xf>
    <xf numFmtId="2" fontId="55" fillId="0" borderId="21" xfId="0" applyNumberFormat="1" applyFont="1" applyFill="1" applyBorder="1" applyAlignment="1" applyProtection="1">
      <alignment horizontal="center" vertical="center"/>
    </xf>
    <xf numFmtId="192" fontId="55" fillId="0" borderId="21" xfId="0" applyNumberFormat="1" applyFont="1" applyFill="1" applyBorder="1" applyAlignment="1" applyProtection="1">
      <alignment horizontal="center" vertical="center"/>
    </xf>
    <xf numFmtId="2" fontId="40" fillId="0" borderId="129" xfId="0" applyNumberFormat="1" applyFont="1" applyFill="1" applyBorder="1" applyAlignment="1">
      <alignment horizontal="center"/>
    </xf>
    <xf numFmtId="2" fontId="40" fillId="0" borderId="129" xfId="0" applyNumberFormat="1" applyFont="1" applyFill="1" applyBorder="1" applyAlignment="1"/>
    <xf numFmtId="0" fontId="40" fillId="0" borderId="0" xfId="0" applyFont="1" applyFill="1" applyBorder="1" applyAlignment="1"/>
    <xf numFmtId="0" fontId="55" fillId="0" borderId="78" xfId="0" applyFont="1" applyFill="1" applyBorder="1" applyAlignment="1">
      <alignment horizontal="center" vertical="center"/>
    </xf>
    <xf numFmtId="0" fontId="55" fillId="61" borderId="21" xfId="0" applyFont="1" applyFill="1" applyBorder="1" applyAlignment="1">
      <alignment horizontal="center" vertical="center"/>
    </xf>
    <xf numFmtId="0" fontId="55" fillId="61" borderId="21" xfId="0" applyNumberFormat="1" applyFont="1" applyFill="1" applyBorder="1" applyAlignment="1" applyProtection="1">
      <alignment horizontal="center" vertical="center"/>
    </xf>
    <xf numFmtId="0" fontId="55" fillId="61" borderId="90" xfId="0" applyNumberFormat="1" applyFont="1" applyFill="1" applyBorder="1" applyAlignment="1" applyProtection="1">
      <alignment horizontal="center" vertical="center"/>
    </xf>
    <xf numFmtId="0" fontId="55" fillId="62" borderId="21" xfId="0" applyFont="1" applyFill="1" applyBorder="1" applyAlignment="1">
      <alignment horizontal="center" vertical="center"/>
    </xf>
    <xf numFmtId="0" fontId="55" fillId="62" borderId="21" xfId="0" applyNumberFormat="1" applyFont="1" applyFill="1" applyBorder="1" applyAlignment="1" applyProtection="1">
      <alignment horizontal="center" vertical="center"/>
    </xf>
    <xf numFmtId="0" fontId="55" fillId="62" borderId="131" xfId="0" applyNumberFormat="1" applyFont="1" applyFill="1" applyBorder="1" applyAlignment="1" applyProtection="1">
      <alignment horizontal="center" vertical="center"/>
    </xf>
    <xf numFmtId="0" fontId="55" fillId="63" borderId="21" xfId="0" applyFont="1" applyFill="1" applyBorder="1" applyAlignment="1">
      <alignment horizontal="center" vertical="center"/>
    </xf>
    <xf numFmtId="0" fontId="55" fillId="63" borderId="21" xfId="0" applyNumberFormat="1" applyFont="1" applyFill="1" applyBorder="1" applyAlignment="1" applyProtection="1">
      <alignment horizontal="center" vertical="center"/>
    </xf>
    <xf numFmtId="0" fontId="55" fillId="59" borderId="90" xfId="0" applyNumberFormat="1" applyFont="1" applyFill="1" applyBorder="1" applyAlignment="1" applyProtection="1">
      <alignment horizontal="center" vertical="center"/>
    </xf>
    <xf numFmtId="0" fontId="55" fillId="57" borderId="21" xfId="0" applyFont="1" applyFill="1" applyBorder="1" applyAlignment="1">
      <alignment horizontal="center" vertical="center"/>
    </xf>
    <xf numFmtId="0" fontId="55" fillId="57" borderId="21" xfId="0" applyNumberFormat="1" applyFont="1" applyFill="1" applyBorder="1" applyAlignment="1" applyProtection="1">
      <alignment horizontal="center" vertical="center"/>
    </xf>
    <xf numFmtId="0" fontId="55" fillId="57" borderId="90" xfId="0" applyNumberFormat="1" applyFont="1" applyFill="1" applyBorder="1" applyAlignment="1" applyProtection="1">
      <alignment horizontal="center" vertical="center"/>
    </xf>
    <xf numFmtId="0" fontId="55" fillId="54" borderId="90" xfId="0" applyNumberFormat="1" applyFont="1" applyFill="1" applyBorder="1" applyAlignment="1" applyProtection="1">
      <alignment horizontal="center" vertical="center"/>
    </xf>
    <xf numFmtId="0" fontId="55" fillId="58" borderId="131" xfId="0" applyNumberFormat="1" applyFont="1" applyFill="1" applyBorder="1" applyAlignment="1" applyProtection="1">
      <alignment horizontal="center" vertical="center"/>
    </xf>
    <xf numFmtId="0" fontId="55" fillId="58" borderId="4" xfId="0" applyFont="1" applyFill="1" applyBorder="1" applyAlignment="1">
      <alignment horizontal="center" vertical="center"/>
    </xf>
    <xf numFmtId="1" fontId="55" fillId="58" borderId="21" xfId="0" applyNumberFormat="1" applyFont="1" applyFill="1" applyBorder="1" applyAlignment="1" applyProtection="1">
      <alignment horizontal="center" vertical="center"/>
    </xf>
    <xf numFmtId="1" fontId="55" fillId="58" borderId="90" xfId="0" applyNumberFormat="1" applyFont="1" applyFill="1" applyBorder="1" applyAlignment="1" applyProtection="1">
      <alignment horizontal="center" vertical="center"/>
    </xf>
    <xf numFmtId="0" fontId="40" fillId="0" borderId="76" xfId="0" applyFont="1" applyBorder="1">
      <alignment vertical="center"/>
    </xf>
    <xf numFmtId="0" fontId="60" fillId="22" borderId="17" xfId="0" applyFont="1" applyFill="1" applyBorder="1" applyAlignment="1">
      <alignment horizontal="center" vertical="center"/>
    </xf>
    <xf numFmtId="1" fontId="61" fillId="49" borderId="21" xfId="0" applyNumberFormat="1" applyFont="1" applyFill="1" applyBorder="1" applyAlignment="1" applyProtection="1">
      <alignment horizontal="center" vertical="center"/>
    </xf>
    <xf numFmtId="0" fontId="60" fillId="17" borderId="18" xfId="0" applyFont="1" applyFill="1" applyBorder="1" applyAlignment="1">
      <alignment horizontal="center" vertical="center"/>
    </xf>
    <xf numFmtId="2" fontId="60" fillId="17" borderId="59" xfId="0" applyNumberFormat="1" applyFont="1" applyFill="1" applyBorder="1" applyAlignment="1">
      <alignment horizontal="center" vertical="center"/>
    </xf>
    <xf numFmtId="0" fontId="40" fillId="0" borderId="14" xfId="0" applyFont="1" applyBorder="1">
      <alignment vertical="center"/>
    </xf>
    <xf numFmtId="0" fontId="40" fillId="0" borderId="0" xfId="0" applyNumberFormat="1" applyFont="1" applyAlignment="1">
      <alignment horizontal="center" vertical="center"/>
    </xf>
    <xf numFmtId="192" fontId="61" fillId="49" borderId="21" xfId="0" applyNumberFormat="1" applyFont="1" applyFill="1" applyBorder="1" applyAlignment="1" applyProtection="1">
      <alignment horizontal="center" vertical="center"/>
    </xf>
    <xf numFmtId="9" fontId="0" fillId="0" borderId="15" xfId="0" applyNumberFormat="1" applyFill="1" applyBorder="1" applyAlignment="1">
      <alignment horizontal="center"/>
    </xf>
    <xf numFmtId="0" fontId="0" fillId="4" borderId="18" xfId="0" applyFont="1" applyFill="1" applyBorder="1" applyAlignment="1">
      <alignment horizontal="center"/>
    </xf>
    <xf numFmtId="0" fontId="0" fillId="4" borderId="132" xfId="0" applyFont="1" applyFill="1" applyBorder="1" applyAlignment="1">
      <alignment horizontal="center"/>
    </xf>
    <xf numFmtId="0" fontId="68" fillId="64" borderId="67" xfId="1" applyFont="1" applyFill="1" applyBorder="1">
      <alignment vertical="center"/>
    </xf>
    <xf numFmtId="0" fontId="42" fillId="20" borderId="67" xfId="0" applyFont="1" applyFill="1" applyBorder="1">
      <alignment vertical="center"/>
    </xf>
    <xf numFmtId="0" fontId="68" fillId="64" borderId="18" xfId="1" applyFont="1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9" fontId="0" fillId="0" borderId="39" xfId="0" applyNumberFormat="1" applyBorder="1" applyAlignment="1">
      <alignment horizontal="center" vertical="center"/>
    </xf>
    <xf numFmtId="9" fontId="0" fillId="0" borderId="17" xfId="0" applyNumberFormat="1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20" borderId="0" xfId="0" applyFill="1" applyBorder="1" applyAlignment="1">
      <alignment horizontal="center"/>
    </xf>
    <xf numFmtId="0" fontId="0" fillId="0" borderId="22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/>
    </xf>
    <xf numFmtId="9" fontId="0" fillId="0" borderId="15" xfId="0" applyNumberFormat="1" applyBorder="1" applyAlignment="1">
      <alignment horizontal="center"/>
    </xf>
    <xf numFmtId="9" fontId="0" fillId="0" borderId="39" xfId="0" applyNumberFormat="1" applyBorder="1" applyAlignment="1">
      <alignment horizontal="center"/>
    </xf>
    <xf numFmtId="0" fontId="8" fillId="65" borderId="20" xfId="1" applyFont="1" applyFill="1" applyBorder="1" applyAlignment="1">
      <alignment horizontal="center" vertical="center"/>
    </xf>
    <xf numFmtId="0" fontId="3" fillId="2" borderId="15" xfId="1" applyBorder="1">
      <alignment vertical="center"/>
    </xf>
    <xf numFmtId="0" fontId="3" fillId="2" borderId="17" xfId="1" applyBorder="1">
      <alignment vertical="center"/>
    </xf>
    <xf numFmtId="0" fontId="0" fillId="0" borderId="30" xfId="0" applyNumberFormat="1" applyFont="1" applyFill="1" applyBorder="1" applyAlignment="1">
      <alignment horizontal="center"/>
    </xf>
    <xf numFmtId="0" fontId="0" fillId="0" borderId="97" xfId="0" applyNumberFormat="1" applyFont="1" applyFill="1" applyBorder="1" applyAlignment="1">
      <alignment horizontal="center"/>
    </xf>
    <xf numFmtId="0" fontId="0" fillId="0" borderId="31" xfId="0" applyNumberFormat="1" applyFont="1" applyFill="1" applyBorder="1" applyAlignment="1">
      <alignment horizontal="center"/>
    </xf>
    <xf numFmtId="0" fontId="8" fillId="65" borderId="2" xfId="1" applyFont="1" applyFill="1" applyBorder="1" applyAlignment="1">
      <alignment horizontal="center" vertical="center"/>
    </xf>
    <xf numFmtId="0" fontId="3" fillId="2" borderId="16" xfId="1" applyBorder="1">
      <alignment vertical="center"/>
    </xf>
    <xf numFmtId="0" fontId="3" fillId="2" borderId="13" xfId="1" applyBorder="1">
      <alignment vertical="center"/>
    </xf>
    <xf numFmtId="191" fontId="69" fillId="2" borderId="17" xfId="1" applyNumberFormat="1" applyFont="1" applyBorder="1">
      <alignment vertical="center"/>
    </xf>
    <xf numFmtId="188" fontId="69" fillId="2" borderId="17" xfId="1" applyNumberFormat="1" applyFont="1" applyBorder="1">
      <alignment vertical="center"/>
    </xf>
    <xf numFmtId="0" fontId="57" fillId="66" borderId="16" xfId="0" applyFont="1" applyFill="1" applyBorder="1" applyAlignment="1">
      <alignment horizontal="center"/>
    </xf>
    <xf numFmtId="188" fontId="40" fillId="20" borderId="13" xfId="0" applyNumberFormat="1" applyFont="1" applyFill="1" applyBorder="1" applyAlignment="1">
      <alignment horizontal="center"/>
    </xf>
    <xf numFmtId="0" fontId="56" fillId="20" borderId="133" xfId="0" applyNumberFormat="1" applyFont="1" applyFill="1" applyBorder="1" applyAlignment="1"/>
    <xf numFmtId="192" fontId="56" fillId="20" borderId="66" xfId="0" applyNumberFormat="1" applyFont="1" applyFill="1" applyBorder="1" applyAlignment="1"/>
    <xf numFmtId="191" fontId="56" fillId="0" borderId="14" xfId="0" applyNumberFormat="1" applyFont="1" applyFill="1" applyBorder="1" applyAlignment="1"/>
    <xf numFmtId="0" fontId="57" fillId="66" borderId="15" xfId="0" applyFont="1" applyFill="1" applyBorder="1" applyAlignment="1">
      <alignment horizontal="center"/>
    </xf>
    <xf numFmtId="0" fontId="56" fillId="66" borderId="15" xfId="0" applyFont="1" applyFill="1" applyBorder="1" applyAlignment="1">
      <alignment horizontal="center" vertical="center"/>
    </xf>
    <xf numFmtId="191" fontId="40" fillId="20" borderId="15" xfId="0" applyNumberFormat="1" applyFont="1" applyFill="1" applyBorder="1" applyAlignment="1">
      <alignment horizontal="center"/>
    </xf>
    <xf numFmtId="0" fontId="56" fillId="20" borderId="57" xfId="0" applyNumberFormat="1" applyFont="1" applyFill="1" applyBorder="1" applyAlignment="1"/>
    <xf numFmtId="192" fontId="56" fillId="20" borderId="58" xfId="0" applyNumberFormat="1" applyFont="1" applyFill="1" applyBorder="1" applyAlignment="1"/>
    <xf numFmtId="191" fontId="56" fillId="0" borderId="18" xfId="0" applyNumberFormat="1" applyFont="1" applyFill="1" applyBorder="1" applyAlignment="1"/>
    <xf numFmtId="188" fontId="40" fillId="20" borderId="17" xfId="0" applyNumberFormat="1" applyFont="1" applyFill="1" applyBorder="1" applyAlignment="1">
      <alignment horizontal="center"/>
    </xf>
    <xf numFmtId="192" fontId="40" fillId="20" borderId="17" xfId="0" applyNumberFormat="1" applyFont="1" applyFill="1" applyBorder="1" applyAlignment="1">
      <alignment horizontal="center"/>
    </xf>
    <xf numFmtId="188" fontId="40" fillId="20" borderId="15" xfId="0" applyNumberFormat="1" applyFont="1" applyFill="1" applyBorder="1" applyAlignment="1">
      <alignment horizontal="center"/>
    </xf>
    <xf numFmtId="188" fontId="49" fillId="20" borderId="17" xfId="0" applyNumberFormat="1" applyFont="1" applyFill="1" applyBorder="1" applyAlignment="1">
      <alignment horizontal="center"/>
    </xf>
    <xf numFmtId="0" fontId="42" fillId="20" borderId="149" xfId="0" applyFont="1" applyFill="1" applyBorder="1" applyAlignment="1">
      <alignment horizontal="center" vertical="center"/>
    </xf>
    <xf numFmtId="0" fontId="42" fillId="20" borderId="150" xfId="0" applyFont="1" applyFill="1" applyBorder="1" applyAlignment="1">
      <alignment horizontal="center" vertical="center"/>
    </xf>
    <xf numFmtId="2" fontId="70" fillId="20" borderId="151" xfId="39" applyNumberFormat="1" applyFont="1" applyFill="1" applyBorder="1" applyAlignment="1">
      <alignment horizontal="center"/>
    </xf>
    <xf numFmtId="9" fontId="0" fillId="0" borderId="15" xfId="0" applyNumberFormat="1" applyBorder="1" applyAlignment="1">
      <alignment horizontal="center" vertical="center"/>
    </xf>
    <xf numFmtId="0" fontId="0" fillId="0" borderId="133" xfId="0" applyNumberFormat="1" applyFont="1" applyFill="1" applyBorder="1" applyAlignment="1">
      <alignment horizontal="center"/>
    </xf>
    <xf numFmtId="192" fontId="0" fillId="0" borderId="25" xfId="0" applyNumberFormat="1" applyFont="1" applyFill="1" applyBorder="1" applyAlignment="1">
      <alignment horizontal="center"/>
    </xf>
    <xf numFmtId="191" fontId="0" fillId="0" borderId="134" xfId="0" applyNumberFormat="1" applyFont="1" applyFill="1" applyBorder="1" applyAlignment="1">
      <alignment horizontal="center"/>
    </xf>
    <xf numFmtId="192" fontId="0" fillId="0" borderId="66" xfId="0" applyNumberFormat="1" applyFont="1" applyFill="1" applyBorder="1" applyAlignment="1">
      <alignment horizontal="center"/>
    </xf>
    <xf numFmtId="191" fontId="0" fillId="0" borderId="14" xfId="0" applyNumberFormat="1" applyFont="1" applyFill="1" applyBorder="1" applyAlignment="1">
      <alignment horizontal="center"/>
    </xf>
    <xf numFmtId="0" fontId="0" fillId="0" borderId="99" xfId="0" applyFill="1" applyBorder="1" applyAlignment="1">
      <alignment horizontal="center"/>
    </xf>
    <xf numFmtId="0" fontId="0" fillId="0" borderId="39" xfId="0" applyBorder="1" applyAlignment="1">
      <alignment horizontal="center"/>
    </xf>
    <xf numFmtId="191" fontId="8" fillId="65" borderId="15" xfId="1" applyNumberFormat="1" applyFont="1" applyFill="1" applyBorder="1">
      <alignment vertical="center"/>
    </xf>
    <xf numFmtId="187" fontId="8" fillId="65" borderId="15" xfId="1" applyNumberFormat="1" applyFont="1" applyFill="1" applyBorder="1">
      <alignment vertical="center"/>
    </xf>
    <xf numFmtId="0" fontId="3" fillId="2" borderId="0" xfId="1">
      <alignment vertical="center"/>
    </xf>
    <xf numFmtId="0" fontId="10" fillId="47" borderId="20" xfId="0" applyFont="1" applyFill="1" applyBorder="1">
      <alignment vertical="center"/>
    </xf>
    <xf numFmtId="191" fontId="58" fillId="47" borderId="15" xfId="0" applyNumberFormat="1" applyFont="1" applyFill="1" applyBorder="1">
      <alignment vertical="center"/>
    </xf>
    <xf numFmtId="0" fontId="10" fillId="28" borderId="15" xfId="0" applyFont="1" applyFill="1" applyBorder="1">
      <alignment vertical="center"/>
    </xf>
    <xf numFmtId="191" fontId="10" fillId="28" borderId="15" xfId="0" applyNumberFormat="1" applyFont="1" applyFill="1" applyBorder="1">
      <alignment vertical="center"/>
    </xf>
    <xf numFmtId="191" fontId="8" fillId="67" borderId="15" xfId="1" applyNumberFormat="1" applyFont="1" applyFill="1" applyBorder="1">
      <alignment vertical="center"/>
    </xf>
    <xf numFmtId="0" fontId="33" fillId="20" borderId="152" xfId="0" applyFont="1" applyFill="1" applyBorder="1" applyAlignment="1">
      <alignment horizontal="center"/>
    </xf>
    <xf numFmtId="0" fontId="0" fillId="20" borderId="0" xfId="0" applyFont="1" applyFill="1" applyBorder="1" applyAlignment="1"/>
    <xf numFmtId="0" fontId="0" fillId="20" borderId="152" xfId="0" applyFont="1" applyFill="1" applyBorder="1" applyAlignment="1">
      <alignment horizontal="center"/>
    </xf>
    <xf numFmtId="0" fontId="0" fillId="20" borderId="152" xfId="0" applyFont="1" applyFill="1" applyBorder="1" applyAlignment="1"/>
    <xf numFmtId="9" fontId="0" fillId="20" borderId="152" xfId="0" applyNumberFormat="1" applyFont="1" applyFill="1" applyBorder="1" applyAlignment="1">
      <alignment horizontal="center"/>
    </xf>
    <xf numFmtId="192" fontId="0" fillId="20" borderId="152" xfId="0" applyNumberFormat="1" applyFont="1" applyFill="1" applyBorder="1" applyAlignment="1">
      <alignment horizontal="center"/>
    </xf>
    <xf numFmtId="10" fontId="0" fillId="20" borderId="152" xfId="0" applyNumberFormat="1" applyFont="1" applyFill="1" applyBorder="1" applyAlignment="1">
      <alignment horizontal="center"/>
    </xf>
    <xf numFmtId="0" fontId="57" fillId="20" borderId="0" xfId="0" applyFont="1" applyFill="1" applyBorder="1" applyAlignment="1"/>
    <xf numFmtId="0" fontId="40" fillId="46" borderId="101" xfId="0" applyNumberFormat="1" applyFont="1" applyFill="1" applyBorder="1" applyAlignment="1" applyProtection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0" fontId="71" fillId="0" borderId="54" xfId="39" applyFont="1" applyFill="1" applyBorder="1" applyAlignment="1">
      <alignment horizontal="center" vertical="center"/>
    </xf>
    <xf numFmtId="0" fontId="71" fillId="0" borderId="122" xfId="39" applyFont="1" applyFill="1" applyBorder="1" applyAlignment="1">
      <alignment horizontal="center" vertical="center"/>
    </xf>
    <xf numFmtId="0" fontId="71" fillId="0" borderId="122" xfId="0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/>
    </xf>
    <xf numFmtId="0" fontId="71" fillId="0" borderId="16" xfId="0" applyFont="1" applyBorder="1" applyAlignment="1">
      <alignment horizontal="center"/>
    </xf>
    <xf numFmtId="187" fontId="71" fillId="0" borderId="16" xfId="0" applyNumberFormat="1" applyFont="1" applyBorder="1" applyAlignment="1">
      <alignment horizontal="center"/>
    </xf>
    <xf numFmtId="191" fontId="71" fillId="20" borderId="50" xfId="0" applyNumberFormat="1" applyFont="1" applyFill="1" applyBorder="1" applyAlignment="1">
      <alignment horizontal="center"/>
    </xf>
    <xf numFmtId="191" fontId="71" fillId="20" borderId="135" xfId="0" applyNumberFormat="1" applyFont="1" applyFill="1" applyBorder="1" applyAlignment="1">
      <alignment horizontal="center"/>
    </xf>
    <xf numFmtId="191" fontId="71" fillId="20" borderId="35" xfId="0" applyNumberFormat="1" applyFont="1" applyFill="1" applyBorder="1" applyAlignment="1">
      <alignment horizontal="center"/>
    </xf>
    <xf numFmtId="191" fontId="71" fillId="20" borderId="54" xfId="0" applyNumberFormat="1" applyFont="1" applyFill="1" applyBorder="1" applyAlignment="1">
      <alignment horizontal="center"/>
    </xf>
    <xf numFmtId="191" fontId="71" fillId="20" borderId="123" xfId="0" applyNumberFormat="1" applyFont="1" applyFill="1" applyBorder="1" applyAlignment="1">
      <alignment horizontal="center"/>
    </xf>
    <xf numFmtId="191" fontId="71" fillId="20" borderId="0" xfId="0" applyNumberFormat="1" applyFont="1" applyFill="1" applyBorder="1" applyAlignment="1">
      <alignment horizontal="center"/>
    </xf>
    <xf numFmtId="2" fontId="0" fillId="0" borderId="0" xfId="0" applyNumberFormat="1">
      <alignment vertical="center"/>
    </xf>
    <xf numFmtId="0" fontId="70" fillId="20" borderId="153" xfId="39" applyFont="1" applyFill="1" applyBorder="1" applyAlignment="1">
      <alignment horizontal="center" vertical="center"/>
    </xf>
    <xf numFmtId="0" fontId="70" fillId="20" borderId="149" xfId="39" applyFont="1" applyFill="1" applyBorder="1" applyAlignment="1">
      <alignment horizontal="center" vertical="center"/>
    </xf>
    <xf numFmtId="0" fontId="70" fillId="20" borderId="150" xfId="39" applyFont="1" applyFill="1" applyBorder="1" applyAlignment="1">
      <alignment horizontal="center" vertical="center"/>
    </xf>
    <xf numFmtId="0" fontId="72" fillId="20" borderId="16" xfId="0" applyFont="1" applyFill="1" applyBorder="1" applyAlignment="1">
      <alignment horizontal="center"/>
    </xf>
    <xf numFmtId="191" fontId="72" fillId="20" borderId="15" xfId="0" applyNumberFormat="1" applyFont="1" applyFill="1" applyBorder="1" applyAlignment="1">
      <alignment horizontal="center"/>
    </xf>
    <xf numFmtId="0" fontId="72" fillId="20" borderId="23" xfId="0" applyFont="1" applyFill="1" applyBorder="1" applyAlignment="1">
      <alignment horizontal="center"/>
    </xf>
    <xf numFmtId="0" fontId="3" fillId="2" borderId="13" xfId="1" applyFont="1" applyBorder="1" applyAlignment="1">
      <alignment horizontal="center" vertical="center"/>
    </xf>
    <xf numFmtId="0" fontId="3" fillId="2" borderId="17" xfId="1" applyFont="1" applyBorder="1" applyAlignment="1">
      <alignment horizontal="center" vertical="center"/>
    </xf>
    <xf numFmtId="0" fontId="42" fillId="20" borderId="23" xfId="0" applyFont="1" applyFill="1" applyBorder="1" applyAlignment="1">
      <alignment horizontal="center" vertical="center"/>
    </xf>
    <xf numFmtId="0" fontId="42" fillId="20" borderId="15" xfId="0" applyFont="1" applyFill="1" applyBorder="1" applyAlignment="1">
      <alignment horizontal="center" vertical="center"/>
    </xf>
    <xf numFmtId="2" fontId="3" fillId="2" borderId="21" xfId="1" applyNumberFormat="1" applyBorder="1" applyAlignment="1">
      <alignment horizontal="center" vertical="center"/>
    </xf>
    <xf numFmtId="189" fontId="8" fillId="2" borderId="15" xfId="1" applyNumberFormat="1" applyFont="1" applyBorder="1" applyAlignment="1">
      <alignment horizontal="right" vertical="center"/>
    </xf>
    <xf numFmtId="0" fontId="0" fillId="0" borderId="76" xfId="0" applyBorder="1" applyAlignment="1"/>
    <xf numFmtId="2" fontId="3" fillId="2" borderId="7" xfId="1" applyNumberFormat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0" fontId="55" fillId="17" borderId="20" xfId="0" applyFont="1" applyFill="1" applyBorder="1" applyAlignment="1">
      <alignment horizontal="center" vertical="center"/>
    </xf>
    <xf numFmtId="0" fontId="55" fillId="17" borderId="17" xfId="0" applyFont="1" applyFill="1" applyBorder="1" applyAlignment="1">
      <alignment horizontal="center" vertical="center"/>
    </xf>
    <xf numFmtId="0" fontId="55" fillId="57" borderId="69" xfId="0" applyNumberFormat="1" applyFont="1" applyFill="1" applyBorder="1" applyAlignment="1" applyProtection="1">
      <alignment horizontal="center" vertical="center"/>
    </xf>
    <xf numFmtId="0" fontId="55" fillId="57" borderId="20" xfId="0" applyFont="1" applyFill="1" applyBorder="1" applyAlignment="1">
      <alignment horizontal="center" vertical="center"/>
    </xf>
    <xf numFmtId="0" fontId="55" fillId="57" borderId="39" xfId="0" applyFont="1" applyFill="1" applyBorder="1" applyAlignment="1">
      <alignment horizontal="center" vertical="center"/>
    </xf>
    <xf numFmtId="0" fontId="55" fillId="57" borderId="17" xfId="0" applyFont="1" applyFill="1" applyBorder="1" applyAlignment="1">
      <alignment horizontal="center" vertical="center"/>
    </xf>
    <xf numFmtId="2" fontId="40" fillId="0" borderId="20" xfId="0" applyNumberFormat="1" applyFont="1" applyFill="1" applyBorder="1" applyAlignment="1">
      <alignment horizontal="center" vertical="center"/>
    </xf>
    <xf numFmtId="2" fontId="40" fillId="0" borderId="39" xfId="0" applyNumberFormat="1" applyFont="1" applyFill="1" applyBorder="1" applyAlignment="1">
      <alignment horizontal="center" vertical="center"/>
    </xf>
    <xf numFmtId="2" fontId="40" fillId="0" borderId="17" xfId="0" applyNumberFormat="1" applyFont="1" applyFill="1" applyBorder="1" applyAlignment="1">
      <alignment horizontal="center" vertical="center"/>
    </xf>
    <xf numFmtId="0" fontId="0" fillId="0" borderId="50" xfId="0" applyNumberFormat="1" applyFont="1" applyFill="1" applyBorder="1" applyAlignment="1">
      <alignment horizontal="center"/>
    </xf>
    <xf numFmtId="0" fontId="0" fillId="0" borderId="120" xfId="0" applyNumberFormat="1" applyFont="1" applyFill="1" applyBorder="1" applyAlignment="1">
      <alignment horizontal="center"/>
    </xf>
    <xf numFmtId="0" fontId="0" fillId="0" borderId="121" xfId="0" applyNumberFormat="1" applyFont="1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40" fillId="2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55" fillId="63" borderId="2" xfId="0" applyFont="1" applyFill="1" applyBorder="1" applyAlignment="1">
      <alignment horizontal="center" vertical="center"/>
    </xf>
    <xf numFmtId="0" fontId="55" fillId="63" borderId="12" xfId="0" applyFont="1" applyFill="1" applyBorder="1" applyAlignment="1">
      <alignment horizontal="center" vertical="center"/>
    </xf>
    <xf numFmtId="0" fontId="55" fillId="63" borderId="13" xfId="0" applyFont="1" applyFill="1" applyBorder="1" applyAlignment="1">
      <alignment horizontal="center" vertical="center"/>
    </xf>
    <xf numFmtId="0" fontId="55" fillId="59" borderId="136" xfId="0" applyFont="1" applyFill="1" applyBorder="1" applyAlignment="1">
      <alignment horizontal="center" vertical="center"/>
    </xf>
    <xf numFmtId="0" fontId="55" fillId="59" borderId="137" xfId="0" applyFont="1" applyFill="1" applyBorder="1" applyAlignment="1">
      <alignment horizontal="center" vertical="center"/>
    </xf>
    <xf numFmtId="0" fontId="55" fillId="59" borderId="138" xfId="0" applyFont="1" applyFill="1" applyBorder="1" applyAlignment="1">
      <alignment horizontal="center" vertical="center"/>
    </xf>
    <xf numFmtId="0" fontId="55" fillId="55" borderId="2" xfId="0" applyFont="1" applyFill="1" applyBorder="1" applyAlignment="1">
      <alignment horizontal="center" vertical="center"/>
    </xf>
    <xf numFmtId="0" fontId="55" fillId="55" borderId="12" xfId="0" applyFont="1" applyFill="1" applyBorder="1" applyAlignment="1">
      <alignment horizontal="center" vertical="center"/>
    </xf>
    <xf numFmtId="0" fontId="55" fillId="55" borderId="13" xfId="0" applyFont="1" applyFill="1" applyBorder="1" applyAlignment="1">
      <alignment horizontal="center" vertical="center"/>
    </xf>
    <xf numFmtId="0" fontId="55" fillId="54" borderId="2" xfId="0" applyFont="1" applyFill="1" applyBorder="1" applyAlignment="1">
      <alignment horizontal="center" vertical="center"/>
    </xf>
    <xf numFmtId="0" fontId="55" fillId="54" borderId="12" xfId="0" applyFont="1" applyFill="1" applyBorder="1" applyAlignment="1">
      <alignment horizontal="center" vertical="center"/>
    </xf>
    <xf numFmtId="0" fontId="55" fillId="54" borderId="13" xfId="0" applyFont="1" applyFill="1" applyBorder="1" applyAlignment="1">
      <alignment horizontal="center" vertical="center"/>
    </xf>
    <xf numFmtId="0" fontId="55" fillId="58" borderId="2" xfId="0" applyFont="1" applyFill="1" applyBorder="1" applyAlignment="1">
      <alignment horizontal="center" vertical="center"/>
    </xf>
    <xf numFmtId="0" fontId="55" fillId="58" borderId="12" xfId="0" applyFont="1" applyFill="1" applyBorder="1" applyAlignment="1">
      <alignment horizontal="center" vertical="center"/>
    </xf>
    <xf numFmtId="0" fontId="55" fillId="58" borderId="13" xfId="0" applyFont="1" applyFill="1" applyBorder="1" applyAlignment="1">
      <alignment horizontal="center" vertical="center"/>
    </xf>
    <xf numFmtId="0" fontId="55" fillId="53" borderId="2" xfId="0" applyFont="1" applyFill="1" applyBorder="1" applyAlignment="1">
      <alignment horizontal="center" vertical="center"/>
    </xf>
    <xf numFmtId="0" fontId="55" fillId="53" borderId="12" xfId="0" applyFont="1" applyFill="1" applyBorder="1" applyAlignment="1">
      <alignment horizontal="center" vertical="center"/>
    </xf>
    <xf numFmtId="0" fontId="55" fillId="53" borderId="13" xfId="0" applyFont="1" applyFill="1" applyBorder="1" applyAlignment="1">
      <alignment horizontal="center" vertical="center"/>
    </xf>
    <xf numFmtId="0" fontId="55" fillId="61" borderId="2" xfId="0" applyFont="1" applyFill="1" applyBorder="1" applyAlignment="1">
      <alignment horizontal="center" vertical="center"/>
    </xf>
    <xf numFmtId="0" fontId="55" fillId="61" borderId="12" xfId="0" applyFont="1" applyFill="1" applyBorder="1" applyAlignment="1">
      <alignment horizontal="center" vertical="center"/>
    </xf>
    <xf numFmtId="0" fontId="55" fillId="61" borderId="13" xfId="0" applyFont="1" applyFill="1" applyBorder="1" applyAlignment="1">
      <alignment horizontal="center" vertical="center"/>
    </xf>
    <xf numFmtId="0" fontId="55" fillId="62" borderId="2" xfId="0" applyFont="1" applyFill="1" applyBorder="1" applyAlignment="1">
      <alignment horizontal="center" vertical="center"/>
    </xf>
    <xf numFmtId="0" fontId="55" fillId="62" borderId="12" xfId="0" applyFont="1" applyFill="1" applyBorder="1" applyAlignment="1">
      <alignment horizontal="center" vertical="center"/>
    </xf>
    <xf numFmtId="0" fontId="55" fillId="62" borderId="13" xfId="0" applyFont="1" applyFill="1" applyBorder="1" applyAlignment="1">
      <alignment horizontal="center" vertical="center"/>
    </xf>
    <xf numFmtId="0" fontId="55" fillId="57" borderId="136" xfId="0" applyFont="1" applyFill="1" applyBorder="1" applyAlignment="1">
      <alignment horizontal="center" vertical="center"/>
    </xf>
    <xf numFmtId="0" fontId="55" fillId="57" borderId="137" xfId="0" applyFont="1" applyFill="1" applyBorder="1" applyAlignment="1">
      <alignment horizontal="center" vertical="center"/>
    </xf>
    <xf numFmtId="0" fontId="55" fillId="57" borderId="138" xfId="0" applyFont="1" applyFill="1" applyBorder="1" applyAlignment="1">
      <alignment horizontal="center" vertical="center"/>
    </xf>
    <xf numFmtId="0" fontId="26" fillId="27" borderId="106" xfId="0" applyFont="1" applyFill="1" applyBorder="1" applyAlignment="1">
      <alignment horizontal="center"/>
    </xf>
    <xf numFmtId="0" fontId="50" fillId="0" borderId="119" xfId="0" applyFont="1" applyBorder="1" applyAlignment="1"/>
    <xf numFmtId="0" fontId="26" fillId="27" borderId="111" xfId="0" applyFont="1" applyFill="1" applyBorder="1" applyAlignment="1">
      <alignment horizontal="center"/>
    </xf>
    <xf numFmtId="0" fontId="50" fillId="0" borderId="117" xfId="0" applyFont="1" applyBorder="1" applyAlignment="1"/>
    <xf numFmtId="0" fontId="26" fillId="27" borderId="20" xfId="0" applyFont="1" applyFill="1" applyBorder="1" applyAlignment="1">
      <alignment horizontal="center"/>
    </xf>
    <xf numFmtId="0" fontId="50" fillId="0" borderId="17" xfId="0" applyFont="1" applyBorder="1" applyAlignment="1"/>
    <xf numFmtId="0" fontId="10" fillId="38" borderId="95" xfId="0" applyFont="1" applyFill="1" applyBorder="1" applyAlignment="1">
      <alignment horizontal="center"/>
    </xf>
    <xf numFmtId="0" fontId="10" fillId="38" borderId="108" xfId="0" applyFont="1" applyFill="1" applyBorder="1" applyAlignment="1">
      <alignment horizontal="center"/>
    </xf>
    <xf numFmtId="0" fontId="10" fillId="38" borderId="97" xfId="0" applyFont="1" applyFill="1" applyBorder="1" applyAlignment="1">
      <alignment horizontal="center"/>
    </xf>
    <xf numFmtId="0" fontId="10" fillId="40" borderId="95" xfId="0" applyFont="1" applyFill="1" applyBorder="1" applyAlignment="1">
      <alignment horizontal="center"/>
    </xf>
    <xf numFmtId="0" fontId="10" fillId="40" borderId="108" xfId="0" applyFont="1" applyFill="1" applyBorder="1" applyAlignment="1">
      <alignment horizontal="center"/>
    </xf>
    <xf numFmtId="0" fontId="10" fillId="40" borderId="97" xfId="0" applyFont="1" applyFill="1" applyBorder="1" applyAlignment="1">
      <alignment horizontal="center"/>
    </xf>
    <xf numFmtId="0" fontId="10" fillId="58" borderId="95" xfId="0" applyFont="1" applyFill="1" applyBorder="1" applyAlignment="1">
      <alignment horizontal="center"/>
    </xf>
    <xf numFmtId="0" fontId="10" fillId="58" borderId="108" xfId="0" applyFont="1" applyFill="1" applyBorder="1" applyAlignment="1">
      <alignment horizontal="center"/>
    </xf>
    <xf numFmtId="0" fontId="10" fillId="58" borderId="97" xfId="0" applyFont="1" applyFill="1" applyBorder="1" applyAlignment="1">
      <alignment horizontal="center"/>
    </xf>
    <xf numFmtId="0" fontId="10" fillId="60" borderId="139" xfId="0" applyFont="1" applyFill="1" applyBorder="1" applyAlignment="1">
      <alignment horizontal="center"/>
    </xf>
    <xf numFmtId="0" fontId="10" fillId="60" borderId="110" xfId="0" applyFont="1" applyFill="1" applyBorder="1" applyAlignment="1">
      <alignment horizontal="center"/>
    </xf>
    <xf numFmtId="0" fontId="10" fillId="60" borderId="140" xfId="0" applyFont="1" applyFill="1" applyBorder="1" applyAlignment="1">
      <alignment horizontal="center"/>
    </xf>
    <xf numFmtId="0" fontId="10" fillId="32" borderId="19" xfId="0" applyFont="1" applyFill="1" applyBorder="1" applyAlignment="1">
      <alignment horizontal="center"/>
    </xf>
    <xf numFmtId="0" fontId="50" fillId="39" borderId="19" xfId="0" applyFont="1" applyFill="1" applyBorder="1" applyAlignment="1">
      <alignment horizontal="center"/>
    </xf>
    <xf numFmtId="0" fontId="10" fillId="35" borderId="95" xfId="0" applyFont="1" applyFill="1" applyBorder="1" applyAlignment="1">
      <alignment horizontal="center"/>
    </xf>
    <xf numFmtId="0" fontId="10" fillId="35" borderId="108" xfId="0" applyFont="1" applyFill="1" applyBorder="1" applyAlignment="1">
      <alignment horizontal="center"/>
    </xf>
    <xf numFmtId="0" fontId="10" fillId="35" borderId="97" xfId="0" applyFont="1" applyFill="1" applyBorder="1" applyAlignment="1">
      <alignment horizontal="center"/>
    </xf>
    <xf numFmtId="0" fontId="10" fillId="43" borderId="95" xfId="0" applyFont="1" applyFill="1" applyBorder="1" applyAlignment="1">
      <alignment horizontal="center"/>
    </xf>
    <xf numFmtId="0" fontId="10" fillId="43" borderId="108" xfId="0" applyFont="1" applyFill="1" applyBorder="1" applyAlignment="1">
      <alignment horizontal="center"/>
    </xf>
    <xf numFmtId="0" fontId="10" fillId="43" borderId="97" xfId="0" applyFont="1" applyFill="1" applyBorder="1" applyAlignment="1">
      <alignment horizontal="center"/>
    </xf>
    <xf numFmtId="0" fontId="10" fillId="68" borderId="95" xfId="0" applyFont="1" applyFill="1" applyBorder="1" applyAlignment="1">
      <alignment horizontal="center"/>
    </xf>
    <xf numFmtId="0" fontId="10" fillId="68" borderId="108" xfId="0" applyFont="1" applyFill="1" applyBorder="1" applyAlignment="1">
      <alignment horizontal="center"/>
    </xf>
    <xf numFmtId="0" fontId="10" fillId="68" borderId="97" xfId="0" applyFont="1" applyFill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40" fillId="17" borderId="0" xfId="0" applyFont="1" applyFill="1" applyAlignment="1">
      <alignment horizontal="center" vertical="center"/>
    </xf>
    <xf numFmtId="0" fontId="73" fillId="71" borderId="0" xfId="0" applyFont="1" applyFill="1" applyAlignment="1">
      <alignment horizontal="center" vertical="center"/>
    </xf>
    <xf numFmtId="0" fontId="74" fillId="69" borderId="50" xfId="11" applyFont="1" applyFill="1" applyBorder="1" applyAlignment="1">
      <alignment horizontal="center" vertical="center"/>
    </xf>
    <xf numFmtId="0" fontId="74" fillId="69" borderId="121" xfId="11" applyFont="1" applyFill="1" applyBorder="1" applyAlignment="1">
      <alignment horizontal="center" vertical="center"/>
    </xf>
    <xf numFmtId="0" fontId="2" fillId="0" borderId="50" xfId="11" applyBorder="1" applyAlignment="1">
      <alignment horizontal="center"/>
    </xf>
    <xf numFmtId="0" fontId="2" fillId="0" borderId="120" xfId="11" applyBorder="1" applyAlignment="1">
      <alignment horizontal="center"/>
    </xf>
    <xf numFmtId="0" fontId="2" fillId="0" borderId="121" xfId="11" applyBorder="1" applyAlignment="1">
      <alignment horizontal="center"/>
    </xf>
    <xf numFmtId="0" fontId="2" fillId="8" borderId="142" xfId="11" applyFont="1" applyFill="1" applyBorder="1" applyAlignment="1">
      <alignment horizontal="center"/>
    </xf>
    <xf numFmtId="0" fontId="2" fillId="70" borderId="30" xfId="11" applyFill="1" applyBorder="1" applyAlignment="1">
      <alignment horizontal="center" vertical="center"/>
    </xf>
    <xf numFmtId="0" fontId="2" fillId="70" borderId="31" xfId="11" applyFill="1" applyBorder="1" applyAlignment="1">
      <alignment horizontal="center" vertical="center"/>
    </xf>
    <xf numFmtId="0" fontId="15" fillId="0" borderId="19" xfId="11" applyFont="1" applyBorder="1" applyAlignment="1">
      <alignment horizontal="center"/>
    </xf>
    <xf numFmtId="0" fontId="67" fillId="69" borderId="54" xfId="11" applyFont="1" applyFill="1" applyBorder="1" applyAlignment="1">
      <alignment horizontal="center" vertical="center"/>
    </xf>
    <xf numFmtId="0" fontId="67" fillId="69" borderId="123" xfId="11" applyFont="1" applyFill="1" applyBorder="1" applyAlignment="1">
      <alignment horizontal="center" vertical="center"/>
    </xf>
    <xf numFmtId="0" fontId="2" fillId="0" borderId="5" xfId="11" applyFont="1" applyBorder="1" applyAlignment="1">
      <alignment horizontal="center"/>
    </xf>
    <xf numFmtId="0" fontId="2" fillId="8" borderId="21" xfId="11" applyFont="1" applyFill="1" applyBorder="1" applyAlignment="1">
      <alignment horizontal="center"/>
    </xf>
    <xf numFmtId="0" fontId="2" fillId="8" borderId="141" xfId="11" applyFont="1" applyFill="1" applyBorder="1" applyAlignment="1">
      <alignment horizontal="center"/>
    </xf>
    <xf numFmtId="0" fontId="2" fillId="0" borderId="21" xfId="11" applyFont="1" applyBorder="1" applyAlignment="1">
      <alignment horizontal="center"/>
    </xf>
    <xf numFmtId="0" fontId="2" fillId="8" borderId="102" xfId="11" applyFont="1" applyFill="1" applyBorder="1" applyAlignment="1">
      <alignment horizontal="center"/>
    </xf>
    <xf numFmtId="0" fontId="42" fillId="22" borderId="20" xfId="0" applyFont="1" applyFill="1" applyBorder="1" applyAlignment="1">
      <alignment horizontal="center" vertical="center"/>
    </xf>
    <xf numFmtId="0" fontId="42" fillId="22" borderId="39" xfId="0" applyFont="1" applyFill="1" applyBorder="1" applyAlignment="1">
      <alignment horizontal="center" vertical="center"/>
    </xf>
    <xf numFmtId="0" fontId="42" fillId="22" borderId="17" xfId="0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 vertical="center"/>
    </xf>
    <xf numFmtId="0" fontId="0" fillId="29" borderId="2" xfId="0" applyFill="1" applyBorder="1" applyAlignment="1">
      <alignment horizontal="center" vertical="center"/>
    </xf>
    <xf numFmtId="0" fontId="0" fillId="29" borderId="100" xfId="0" applyFill="1" applyBorder="1" applyAlignment="1">
      <alignment horizontal="center" vertical="center"/>
    </xf>
    <xf numFmtId="0" fontId="0" fillId="29" borderId="127" xfId="0" applyFill="1" applyBorder="1" applyAlignment="1">
      <alignment horizontal="center" vertical="center"/>
    </xf>
    <xf numFmtId="0" fontId="31" fillId="60" borderId="15" xfId="0" applyFont="1" applyFill="1" applyBorder="1" applyAlignment="1">
      <alignment horizontal="center" vertical="center"/>
    </xf>
    <xf numFmtId="0" fontId="0" fillId="60" borderId="15" xfId="0" applyFill="1" applyBorder="1" applyAlignment="1">
      <alignment horizontal="center" vertical="center"/>
    </xf>
    <xf numFmtId="0" fontId="0" fillId="29" borderId="12" xfId="0" applyFill="1" applyBorder="1" applyAlignment="1">
      <alignment horizontal="center" vertical="center"/>
    </xf>
    <xf numFmtId="0" fontId="0" fillId="29" borderId="0" xfId="0" applyFill="1" applyBorder="1" applyAlignment="1">
      <alignment horizontal="center" vertical="center"/>
    </xf>
    <xf numFmtId="0" fontId="0" fillId="29" borderId="67" xfId="0" applyFill="1" applyBorder="1" applyAlignment="1">
      <alignment horizontal="center" vertical="center"/>
    </xf>
    <xf numFmtId="0" fontId="0" fillId="60" borderId="16" xfId="0" applyFill="1" applyBorder="1" applyAlignment="1">
      <alignment horizontal="center" vertical="center"/>
    </xf>
    <xf numFmtId="0" fontId="0" fillId="29" borderId="22" xfId="0" applyFill="1" applyBorder="1" applyAlignment="1">
      <alignment horizontal="center" vertical="center"/>
    </xf>
    <xf numFmtId="0" fontId="0" fillId="29" borderId="23" xfId="0" applyFill="1" applyBorder="1" applyAlignment="1">
      <alignment horizontal="center" vertical="center"/>
    </xf>
    <xf numFmtId="0" fontId="75" fillId="60" borderId="15" xfId="0" applyFont="1" applyFill="1" applyBorder="1" applyAlignment="1">
      <alignment horizontal="center" vertical="center"/>
    </xf>
    <xf numFmtId="0" fontId="0" fillId="60" borderId="20" xfId="0" applyFill="1" applyBorder="1" applyAlignment="1">
      <alignment horizontal="center" vertical="center"/>
    </xf>
    <xf numFmtId="0" fontId="0" fillId="60" borderId="13" xfId="0" applyFill="1" applyBorder="1" applyAlignment="1">
      <alignment horizontal="center" vertical="center"/>
    </xf>
    <xf numFmtId="0" fontId="84" fillId="0" borderId="20" xfId="0" applyFont="1" applyBorder="1" applyAlignment="1">
      <alignment horizontal="center"/>
    </xf>
    <xf numFmtId="0" fontId="84" fillId="0" borderId="17" xfId="0" applyFont="1" applyBorder="1" applyAlignment="1">
      <alignment horizontal="center"/>
    </xf>
    <xf numFmtId="0" fontId="85" fillId="7" borderId="2" xfId="0" applyFont="1" applyFill="1" applyBorder="1" applyAlignment="1">
      <alignment horizontal="center"/>
    </xf>
    <xf numFmtId="0" fontId="85" fillId="7" borderId="13" xfId="0" applyFont="1" applyFill="1" applyBorder="1" applyAlignment="1">
      <alignment horizontal="center"/>
    </xf>
    <xf numFmtId="0" fontId="86" fillId="7" borderId="2" xfId="0" applyFont="1" applyFill="1" applyBorder="1" applyAlignment="1">
      <alignment horizontal="center"/>
    </xf>
    <xf numFmtId="0" fontId="86" fillId="7" borderId="13" xfId="0" applyFont="1" applyFill="1" applyBorder="1" applyAlignment="1">
      <alignment horizontal="center"/>
    </xf>
    <xf numFmtId="0" fontId="87" fillId="7" borderId="2" xfId="0" applyFont="1" applyFill="1" applyBorder="1" applyAlignment="1">
      <alignment horizontal="center"/>
    </xf>
    <xf numFmtId="0" fontId="87" fillId="7" borderId="13" xfId="0" applyFont="1" applyFill="1" applyBorder="1" applyAlignment="1">
      <alignment horizontal="center"/>
    </xf>
    <xf numFmtId="0" fontId="88" fillId="7" borderId="2" xfId="0" applyFont="1" applyFill="1" applyBorder="1" applyAlignment="1">
      <alignment horizontal="center"/>
    </xf>
    <xf numFmtId="0" fontId="88" fillId="7" borderId="13" xfId="0" applyFont="1" applyFill="1" applyBorder="1" applyAlignment="1">
      <alignment horizontal="center"/>
    </xf>
    <xf numFmtId="0" fontId="77" fillId="7" borderId="2" xfId="0" applyFont="1" applyFill="1" applyBorder="1" applyAlignment="1">
      <alignment horizontal="center"/>
    </xf>
    <xf numFmtId="0" fontId="77" fillId="7" borderId="13" xfId="0" applyFont="1" applyFill="1" applyBorder="1" applyAlignment="1">
      <alignment horizontal="center"/>
    </xf>
    <xf numFmtId="0" fontId="76" fillId="7" borderId="2" xfId="0" applyFont="1" applyFill="1" applyBorder="1" applyAlignment="1">
      <alignment horizontal="center"/>
    </xf>
    <xf numFmtId="0" fontId="76" fillId="7" borderId="13" xfId="0" applyFont="1" applyFill="1" applyBorder="1" applyAlignment="1">
      <alignment horizontal="center"/>
    </xf>
    <xf numFmtId="0" fontId="89" fillId="7" borderId="2" xfId="0" applyFont="1" applyFill="1" applyBorder="1" applyAlignment="1">
      <alignment horizontal="center"/>
    </xf>
    <xf numFmtId="0" fontId="89" fillId="7" borderId="13" xfId="0" applyFont="1" applyFill="1" applyBorder="1" applyAlignment="1">
      <alignment horizontal="center"/>
    </xf>
    <xf numFmtId="0" fontId="90" fillId="7" borderId="2" xfId="0" applyFont="1" applyFill="1" applyBorder="1" applyAlignment="1">
      <alignment horizontal="center"/>
    </xf>
    <xf numFmtId="0" fontId="90" fillId="7" borderId="13" xfId="0" applyFont="1" applyFill="1" applyBorder="1" applyAlignment="1">
      <alignment horizontal="center"/>
    </xf>
    <xf numFmtId="0" fontId="91" fillId="0" borderId="20" xfId="0" applyFont="1" applyBorder="1" applyAlignment="1">
      <alignment horizontal="center"/>
    </xf>
    <xf numFmtId="0" fontId="91" fillId="0" borderId="17" xfId="0" applyFont="1" applyBorder="1" applyAlignment="1">
      <alignment horizontal="center"/>
    </xf>
    <xf numFmtId="0" fontId="78" fillId="7" borderId="2" xfId="0" applyFont="1" applyFill="1" applyBorder="1" applyAlignment="1">
      <alignment horizontal="center"/>
    </xf>
    <xf numFmtId="0" fontId="78" fillId="7" borderId="13" xfId="0" applyFont="1" applyFill="1" applyBorder="1" applyAlignment="1">
      <alignment horizontal="center"/>
    </xf>
    <xf numFmtId="0" fontId="79" fillId="0" borderId="20" xfId="0" applyFont="1" applyBorder="1" applyAlignment="1">
      <alignment horizontal="center"/>
    </xf>
    <xf numFmtId="0" fontId="79" fillId="0" borderId="17" xfId="0" applyFont="1" applyBorder="1" applyAlignment="1">
      <alignment horizontal="center"/>
    </xf>
    <xf numFmtId="0" fontId="80" fillId="7" borderId="33" xfId="0" applyFont="1" applyFill="1" applyBorder="1" applyAlignment="1">
      <alignment horizontal="center"/>
    </xf>
    <xf numFmtId="0" fontId="80" fillId="7" borderId="35" xfId="0" applyFont="1" applyFill="1" applyBorder="1" applyAlignment="1">
      <alignment horizontal="center"/>
    </xf>
    <xf numFmtId="0" fontId="81" fillId="7" borderId="2" xfId="0" applyFont="1" applyFill="1" applyBorder="1" applyAlignment="1">
      <alignment horizontal="center"/>
    </xf>
    <xf numFmtId="0" fontId="81" fillId="7" borderId="13" xfId="0" applyFont="1" applyFill="1" applyBorder="1" applyAlignment="1">
      <alignment horizontal="center"/>
    </xf>
    <xf numFmtId="0" fontId="82" fillId="7" borderId="2" xfId="0" applyFont="1" applyFill="1" applyBorder="1" applyAlignment="1">
      <alignment horizontal="center"/>
    </xf>
    <xf numFmtId="0" fontId="82" fillId="7" borderId="12" xfId="0" applyFont="1" applyFill="1" applyBorder="1" applyAlignment="1">
      <alignment horizontal="center"/>
    </xf>
    <xf numFmtId="0" fontId="82" fillId="7" borderId="13" xfId="0" applyFont="1" applyFill="1" applyBorder="1" applyAlignment="1">
      <alignment horizontal="center"/>
    </xf>
    <xf numFmtId="0" fontId="83" fillId="7" borderId="2" xfId="0" applyFont="1" applyFill="1" applyBorder="1" applyAlignment="1">
      <alignment horizontal="center"/>
    </xf>
    <xf numFmtId="0" fontId="83" fillId="7" borderId="13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33" fillId="20" borderId="152" xfId="0" applyFont="1" applyFill="1" applyBorder="1" applyAlignment="1">
      <alignment horizontal="center"/>
    </xf>
    <xf numFmtId="0" fontId="71" fillId="0" borderId="20" xfId="0" applyFont="1" applyBorder="1" applyAlignment="1">
      <alignment horizontal="center"/>
    </xf>
    <xf numFmtId="0" fontId="71" fillId="0" borderId="39" xfId="0" applyFont="1" applyBorder="1" applyAlignment="1">
      <alignment horizontal="center"/>
    </xf>
    <xf numFmtId="0" fontId="71" fillId="0" borderId="17" xfId="0" applyFont="1" applyBorder="1" applyAlignment="1">
      <alignment horizontal="center"/>
    </xf>
    <xf numFmtId="0" fontId="1" fillId="20" borderId="151" xfId="39" applyFont="1" applyFill="1" applyBorder="1" applyAlignment="1">
      <alignment horizontal="center"/>
    </xf>
    <xf numFmtId="0" fontId="55" fillId="57" borderId="154" xfId="0" applyNumberFormat="1" applyFont="1" applyFill="1" applyBorder="1" applyAlignment="1" applyProtection="1">
      <alignment horizontal="center" vertical="center"/>
    </xf>
    <xf numFmtId="0" fontId="40" fillId="0" borderId="17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center"/>
    </xf>
    <xf numFmtId="0" fontId="40" fillId="0" borderId="155" xfId="0" applyFont="1" applyFill="1" applyBorder="1" applyAlignment="1">
      <alignment vertical="center"/>
    </xf>
    <xf numFmtId="0" fontId="55" fillId="52" borderId="4" xfId="0" applyNumberFormat="1" applyFont="1" applyFill="1" applyBorder="1" applyAlignment="1" applyProtection="1">
      <alignment horizontal="center" vertical="center"/>
    </xf>
    <xf numFmtId="2" fontId="40" fillId="0" borderId="7" xfId="0" applyNumberFormat="1" applyFont="1" applyFill="1" applyBorder="1" applyAlignment="1" applyProtection="1">
      <alignment horizontal="center" vertical="center"/>
    </xf>
    <xf numFmtId="0" fontId="55" fillId="52" borderId="156" xfId="0" applyFont="1" applyFill="1" applyBorder="1" applyAlignment="1">
      <alignment horizontal="center" vertical="center"/>
    </xf>
    <xf numFmtId="0" fontId="55" fillId="0" borderId="80" xfId="0" applyNumberFormat="1" applyFont="1" applyFill="1" applyBorder="1" applyAlignment="1" applyProtection="1">
      <alignment horizontal="center" vertical="center"/>
    </xf>
  </cellXfs>
  <cellStyles count="74">
    <cellStyle name="20% - Ênfase4 3" xfId="1"/>
    <cellStyle name="Check Cell 2" xfId="2"/>
    <cellStyle name="Excel Built-in Comma" xfId="3"/>
    <cellStyle name="Excel Built-in Currency" xfId="4"/>
    <cellStyle name="Excel Built-in Normal" xfId="5"/>
    <cellStyle name="Excel Built-in Normal 1" xfId="6"/>
    <cellStyle name="Excel Built-in Normal 2" xfId="7"/>
    <cellStyle name="Excel Built-in Normal_274y+66" xfId="8"/>
    <cellStyle name="Excel Built-in Percent" xfId="9"/>
    <cellStyle name="Moeda 2" xfId="10"/>
    <cellStyle name="Normal 2" xfId="11"/>
    <cellStyle name="Normal 2 2" xfId="12"/>
    <cellStyle name="Normal 2 2 2" xfId="13"/>
    <cellStyle name="Normal 2 3" xfId="14"/>
    <cellStyle name="Normal 2 4" xfId="15"/>
    <cellStyle name="Normal 2 5" xfId="16"/>
    <cellStyle name="Normal 2 6" xfId="17"/>
    <cellStyle name="Normal 2 7" xfId="18"/>
    <cellStyle name="Normal 3" xfId="19"/>
    <cellStyle name="Normal 3 2" xfId="20"/>
    <cellStyle name="Normal 4" xfId="21"/>
    <cellStyle name="Normal 4 2" xfId="22"/>
    <cellStyle name="Normal 4 3" xfId="23"/>
    <cellStyle name="Normal 5" xfId="24"/>
    <cellStyle name="Normal 6" xfId="25"/>
    <cellStyle name="Normal 7" xfId="26"/>
    <cellStyle name="Normal 7 2" xfId="27"/>
    <cellStyle name="Normal 8" xfId="28"/>
    <cellStyle name="Normal 9" xfId="29"/>
    <cellStyle name="Separador de milhares 2" xfId="30"/>
    <cellStyle name="Separador de milhares 3" xfId="31"/>
    <cellStyle name="Separador de milhares 4" xfId="32"/>
    <cellStyle name="Style 1" xfId="33"/>
    <cellStyle name="Título 1 1" xfId="34"/>
    <cellStyle name="Título 1 1 1" xfId="35"/>
    <cellStyle name="Título 1 1 1 1" xfId="36"/>
    <cellStyle name="Título 1 1 1 1 1" xfId="37"/>
    <cellStyle name="Título 1 1 1 1 1 1" xfId="38"/>
    <cellStyle name="ปกติ" xfId="0" builtinId="0"/>
    <cellStyle name="ปานกลาง" xfId="39" builtinId="28"/>
    <cellStyle name="เปอร์เซ็นต์" xfId="40" builtinId="5"/>
    <cellStyle name="표준 10" xfId="41"/>
    <cellStyle name="표준 11" xfId="42"/>
    <cellStyle name="표준 12" xfId="43"/>
    <cellStyle name="표준 13" xfId="44"/>
    <cellStyle name="표준 14" xfId="45"/>
    <cellStyle name="표준 15" xfId="46"/>
    <cellStyle name="표준 16" xfId="47"/>
    <cellStyle name="표준 17 2" xfId="48"/>
    <cellStyle name="표준 2" xfId="49"/>
    <cellStyle name="표준 2 2" xfId="50"/>
    <cellStyle name="표준 2 2 2" xfId="51"/>
    <cellStyle name="표준 2 3" xfId="52"/>
    <cellStyle name="표준 2 4" xfId="53"/>
    <cellStyle name="표준 2 5" xfId="54"/>
    <cellStyle name="표준 2 6" xfId="55"/>
    <cellStyle name="표준 2 7" xfId="56"/>
    <cellStyle name="표준 2 8" xfId="57"/>
    <cellStyle name="표준 2 9" xfId="58"/>
    <cellStyle name="표준 3" xfId="59"/>
    <cellStyle name="표준 3 2" xfId="60"/>
    <cellStyle name="표준 3 3" xfId="61"/>
    <cellStyle name="표준 3 4" xfId="62"/>
    <cellStyle name="표준 3 5" xfId="63"/>
    <cellStyle name="표준 3 6" xfId="64"/>
    <cellStyle name="표준 3 7" xfId="65"/>
    <cellStyle name="표준 3 8" xfId="66"/>
    <cellStyle name="표준 4" xfId="67"/>
    <cellStyle name="표준 5" xfId="68"/>
    <cellStyle name="표준 6" xfId="69"/>
    <cellStyle name="표준 7" xfId="70"/>
    <cellStyle name="표준 8" xfId="71"/>
    <cellStyle name="표준 9" xfId="72"/>
    <cellStyle name="표준_아이스스파" xfId="7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28575</xdr:rowOff>
    </xdr:from>
    <xdr:to>
      <xdr:col>10</xdr:col>
      <xdr:colOff>438150</xdr:colOff>
      <xdr:row>26</xdr:row>
      <xdr:rowOff>133350</xdr:rowOff>
    </xdr:to>
    <xdr:pic>
      <xdr:nvPicPr>
        <xdr:cNvPr id="10387" name="รูปภาพ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8575"/>
          <a:ext cx="6486525" cy="431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10</xdr:col>
      <xdr:colOff>590550</xdr:colOff>
      <xdr:row>19</xdr:row>
      <xdr:rowOff>85725</xdr:rowOff>
    </xdr:to>
    <xdr:pic>
      <xdr:nvPicPr>
        <xdr:cNvPr id="11409" name="รูปภาพ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6657975" cy="316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aMuKa%20268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"/>
      <sheetName val="Ice Spa"/>
      <sheetName val="Pink Wind"/>
      <sheetName val="Call"/>
      <sheetName val="West Wiz"/>
      <sheetName val="Lost Seaway"/>
      <sheetName val="Sepia Wind"/>
      <sheetName val="Eastern Valley"/>
      <sheetName val="Ice Cannon"/>
      <sheetName val="Base"/>
      <sheetName val="Shining Sand"/>
      <sheetName val="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P2">
            <v>0</v>
          </cell>
        </row>
        <row r="59">
          <cell r="C59">
            <v>101.35</v>
          </cell>
          <cell r="D59">
            <v>0.91</v>
          </cell>
        </row>
      </sheetData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 268y"/>
      <sheetName val="Plan2"/>
      <sheetName val="Plan3"/>
      <sheetName val="Plan4"/>
      <sheetName val="6I"/>
      <sheetName val="Hios"/>
      <sheetName val="ReaiS"/>
      <sheetName val="Ironss"/>
      <sheetName val="PW"/>
      <sheetName val="Sheet1"/>
    </sheetNames>
    <sheetDataSet>
      <sheetData sheetId="0" refreshError="1">
        <row r="1">
          <cell r="B1">
            <v>269</v>
          </cell>
        </row>
        <row r="2">
          <cell r="B2">
            <v>3</v>
          </cell>
        </row>
        <row r="3">
          <cell r="B3">
            <v>-8.34</v>
          </cell>
        </row>
        <row r="4">
          <cell r="B4">
            <v>88</v>
          </cell>
        </row>
        <row r="5">
          <cell r="B5">
            <v>0</v>
          </cell>
        </row>
        <row r="7">
          <cell r="B7">
            <v>100</v>
          </cell>
        </row>
        <row r="11">
          <cell r="B11">
            <v>1.92</v>
          </cell>
        </row>
        <row r="12">
          <cell r="B12">
            <v>0.217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Personalizada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13"/>
  <sheetViews>
    <sheetView showGridLines="0" showRowColHeaders="0" topLeftCell="A34" workbookViewId="0">
      <selection activeCell="I41" sqref="I41"/>
    </sheetView>
  </sheetViews>
  <sheetFormatPr defaultRowHeight="12.75"/>
  <cols>
    <col min="1" max="16384" width="9.140625" style="160"/>
  </cols>
  <sheetData>
    <row r="1" spans="1:10">
      <c r="A1" s="158" t="s">
        <v>8</v>
      </c>
      <c r="B1" s="158" t="s">
        <v>193</v>
      </c>
      <c r="C1" s="159"/>
      <c r="D1" s="159"/>
      <c r="E1" s="159"/>
      <c r="F1" s="159"/>
      <c r="G1" s="159"/>
      <c r="H1" s="159"/>
      <c r="I1" s="159"/>
      <c r="J1" s="159"/>
    </row>
    <row r="2" spans="1:10" ht="14.25">
      <c r="A2" s="161">
        <v>280</v>
      </c>
      <c r="B2" s="161">
        <v>6</v>
      </c>
      <c r="C2" s="162"/>
      <c r="D2" s="159"/>
      <c r="E2" s="159"/>
      <c r="F2" s="159"/>
      <c r="G2" s="159"/>
      <c r="H2" s="159"/>
      <c r="I2" s="159"/>
      <c r="J2" s="159"/>
    </row>
    <row r="4" spans="1:10">
      <c r="A4" s="163"/>
      <c r="B4" s="164" t="s">
        <v>194</v>
      </c>
      <c r="C4" s="165" t="s">
        <v>195</v>
      </c>
      <c r="D4" s="164" t="s">
        <v>196</v>
      </c>
      <c r="E4" s="165" t="s">
        <v>197</v>
      </c>
      <c r="F4" s="164" t="s">
        <v>198</v>
      </c>
      <c r="G4" s="165" t="s">
        <v>199</v>
      </c>
      <c r="H4" s="164" t="s">
        <v>200</v>
      </c>
      <c r="I4" s="165" t="s">
        <v>201</v>
      </c>
      <c r="J4" s="164" t="s">
        <v>202</v>
      </c>
    </row>
    <row r="5" spans="1:10">
      <c r="A5" s="166">
        <v>0.7</v>
      </c>
      <c r="B5" s="167">
        <f t="shared" ref="B5:B32" si="0">B6-(B$113*0.2/72)</f>
        <v>196.00000000000068</v>
      </c>
      <c r="C5" s="168">
        <f t="shared" ref="C5:C32" si="1">C6-(C$113*0.2/72)</f>
        <v>207.2000000000013</v>
      </c>
      <c r="D5" s="167">
        <f t="shared" ref="D5:D32" si="2">D6-(D$113*0.2/72)</f>
        <v>214.19999999999897</v>
      </c>
      <c r="E5" s="168">
        <f t="shared" ref="E5:E32" si="3">E6-(E$113*0.2/72)</f>
        <v>181.99999999999932</v>
      </c>
      <c r="F5" s="167">
        <f t="shared" ref="F5:F32" si="4">F6-(F$113*0.2/72)</f>
        <v>193.19999999999931</v>
      </c>
      <c r="G5" s="168">
        <f t="shared" ref="G5:G32" si="5">G6-(G$113*0.2/72)</f>
        <v>200.2000000000003</v>
      </c>
      <c r="H5" s="167">
        <f t="shared" ref="H5:H32" si="6">H6-(H$113*0.2/72)</f>
        <v>168.00000000000102</v>
      </c>
      <c r="I5" s="168">
        <f t="shared" ref="I5:I32" si="7">I6-(I$113*0.2/72)</f>
        <v>179.20000000000027</v>
      </c>
      <c r="J5" s="167">
        <f t="shared" ref="J5:J32" si="8">J6-(J$113*0.2/72)</f>
        <v>186.20000000000095</v>
      </c>
    </row>
    <row r="6" spans="1:10">
      <c r="A6" s="166">
        <f>A5+0.00277777777777777</f>
        <v>0.70277777777777772</v>
      </c>
      <c r="B6" s="167">
        <f t="shared" si="0"/>
        <v>196.77777777777845</v>
      </c>
      <c r="C6" s="168">
        <f t="shared" si="1"/>
        <v>208.02222222222352</v>
      </c>
      <c r="D6" s="167">
        <f t="shared" si="2"/>
        <v>215.04999999999896</v>
      </c>
      <c r="E6" s="168">
        <f t="shared" si="3"/>
        <v>182.72222222222155</v>
      </c>
      <c r="F6" s="167">
        <f t="shared" si="4"/>
        <v>193.96666666666599</v>
      </c>
      <c r="G6" s="168">
        <f t="shared" si="5"/>
        <v>200.99444444444475</v>
      </c>
      <c r="H6" s="167">
        <f t="shared" si="6"/>
        <v>168.66666666666768</v>
      </c>
      <c r="I6" s="168">
        <f t="shared" si="7"/>
        <v>179.91111111111138</v>
      </c>
      <c r="J6" s="167">
        <f t="shared" si="8"/>
        <v>186.93888888888984</v>
      </c>
    </row>
    <row r="7" spans="1:10">
      <c r="A7" s="166">
        <f t="shared" ref="A7:A70" si="9">A6+0.00277777777777777</f>
        <v>0.70555555555555549</v>
      </c>
      <c r="B7" s="167">
        <f t="shared" si="0"/>
        <v>197.55555555555623</v>
      </c>
      <c r="C7" s="168">
        <f t="shared" si="1"/>
        <v>208.84444444444574</v>
      </c>
      <c r="D7" s="167">
        <f t="shared" si="2"/>
        <v>215.89999999999895</v>
      </c>
      <c r="E7" s="168">
        <f t="shared" si="3"/>
        <v>183.44444444444377</v>
      </c>
      <c r="F7" s="167">
        <f t="shared" si="4"/>
        <v>194.73333333333267</v>
      </c>
      <c r="G7" s="168">
        <f t="shared" si="5"/>
        <v>201.7888888888892</v>
      </c>
      <c r="H7" s="167">
        <f t="shared" si="6"/>
        <v>169.33333333333434</v>
      </c>
      <c r="I7" s="168">
        <f t="shared" si="7"/>
        <v>180.62222222222249</v>
      </c>
      <c r="J7" s="167">
        <f t="shared" si="8"/>
        <v>187.67777777777872</v>
      </c>
    </row>
    <row r="8" spans="1:10">
      <c r="A8" s="166">
        <f t="shared" si="9"/>
        <v>0.70833333333333326</v>
      </c>
      <c r="B8" s="167">
        <f t="shared" si="0"/>
        <v>198.333333333334</v>
      </c>
      <c r="C8" s="168">
        <f t="shared" si="1"/>
        <v>209.66666666666796</v>
      </c>
      <c r="D8" s="167">
        <f t="shared" si="2"/>
        <v>216.74999999999895</v>
      </c>
      <c r="E8" s="168">
        <f t="shared" si="3"/>
        <v>184.166666666666</v>
      </c>
      <c r="F8" s="167">
        <f t="shared" si="4"/>
        <v>195.49999999999935</v>
      </c>
      <c r="G8" s="168">
        <f t="shared" si="5"/>
        <v>202.58333333333366</v>
      </c>
      <c r="H8" s="167">
        <f t="shared" si="6"/>
        <v>170.00000000000099</v>
      </c>
      <c r="I8" s="168">
        <f t="shared" si="7"/>
        <v>181.3333333333336</v>
      </c>
      <c r="J8" s="167">
        <f t="shared" si="8"/>
        <v>188.4166666666676</v>
      </c>
    </row>
    <row r="9" spans="1:10">
      <c r="A9" s="166">
        <f t="shared" si="9"/>
        <v>0.71111111111111103</v>
      </c>
      <c r="B9" s="167">
        <f t="shared" si="0"/>
        <v>199.11111111111177</v>
      </c>
      <c r="C9" s="168">
        <f t="shared" si="1"/>
        <v>210.48888888889019</v>
      </c>
      <c r="D9" s="167">
        <f t="shared" si="2"/>
        <v>217.59999999999894</v>
      </c>
      <c r="E9" s="168">
        <f t="shared" si="3"/>
        <v>184.88888888888823</v>
      </c>
      <c r="F9" s="167">
        <f t="shared" si="4"/>
        <v>196.26666666666603</v>
      </c>
      <c r="G9" s="168">
        <f t="shared" si="5"/>
        <v>203.37777777777811</v>
      </c>
      <c r="H9" s="167">
        <f t="shared" si="6"/>
        <v>170.66666666666765</v>
      </c>
      <c r="I9" s="168">
        <f t="shared" si="7"/>
        <v>182.04444444444471</v>
      </c>
      <c r="J9" s="167">
        <f t="shared" si="8"/>
        <v>189.15555555555648</v>
      </c>
    </row>
    <row r="10" spans="1:10">
      <c r="A10" s="166">
        <f t="shared" si="9"/>
        <v>0.7138888888888888</v>
      </c>
      <c r="B10" s="167">
        <f t="shared" si="0"/>
        <v>199.88888888888954</v>
      </c>
      <c r="C10" s="168">
        <f t="shared" si="1"/>
        <v>211.31111111111241</v>
      </c>
      <c r="D10" s="167">
        <f t="shared" si="2"/>
        <v>218.44999999999894</v>
      </c>
      <c r="E10" s="168">
        <f t="shared" si="3"/>
        <v>185.61111111111046</v>
      </c>
      <c r="F10" s="167">
        <f t="shared" si="4"/>
        <v>197.03333333333271</v>
      </c>
      <c r="G10" s="168">
        <f t="shared" si="5"/>
        <v>204.17222222222256</v>
      </c>
      <c r="H10" s="167">
        <f t="shared" si="6"/>
        <v>171.33333333333431</v>
      </c>
      <c r="I10" s="168">
        <f t="shared" si="7"/>
        <v>182.75555555555582</v>
      </c>
      <c r="J10" s="167">
        <f t="shared" si="8"/>
        <v>189.89444444444536</v>
      </c>
    </row>
    <row r="11" spans="1:10">
      <c r="A11" s="166">
        <f t="shared" si="9"/>
        <v>0.71666666666666656</v>
      </c>
      <c r="B11" s="167">
        <f t="shared" si="0"/>
        <v>200.66666666666731</v>
      </c>
      <c r="C11" s="168">
        <f t="shared" si="1"/>
        <v>212.13333333333463</v>
      </c>
      <c r="D11" s="167">
        <f t="shared" si="2"/>
        <v>219.29999999999893</v>
      </c>
      <c r="E11" s="168">
        <f t="shared" si="3"/>
        <v>186.33333333333269</v>
      </c>
      <c r="F11" s="167">
        <f t="shared" si="4"/>
        <v>197.79999999999939</v>
      </c>
      <c r="G11" s="168">
        <f t="shared" si="5"/>
        <v>204.96666666666701</v>
      </c>
      <c r="H11" s="167">
        <f t="shared" si="6"/>
        <v>172.00000000000097</v>
      </c>
      <c r="I11" s="168">
        <f t="shared" si="7"/>
        <v>183.46666666666692</v>
      </c>
      <c r="J11" s="167">
        <f t="shared" si="8"/>
        <v>190.63333333333424</v>
      </c>
    </row>
    <row r="12" spans="1:10">
      <c r="A12" s="166">
        <f t="shared" si="9"/>
        <v>0.71944444444444433</v>
      </c>
      <c r="B12" s="167">
        <f t="shared" si="0"/>
        <v>201.44444444444508</v>
      </c>
      <c r="C12" s="168">
        <f t="shared" si="1"/>
        <v>212.95555555555686</v>
      </c>
      <c r="D12" s="167">
        <f t="shared" si="2"/>
        <v>220.14999999999893</v>
      </c>
      <c r="E12" s="168">
        <f t="shared" si="3"/>
        <v>187.05555555555492</v>
      </c>
      <c r="F12" s="167">
        <f t="shared" si="4"/>
        <v>198.56666666666607</v>
      </c>
      <c r="G12" s="168">
        <f t="shared" si="5"/>
        <v>205.76111111111146</v>
      </c>
      <c r="H12" s="167">
        <f t="shared" si="6"/>
        <v>172.66666666666762</v>
      </c>
      <c r="I12" s="168">
        <f t="shared" si="7"/>
        <v>184.17777777777803</v>
      </c>
      <c r="J12" s="167">
        <f t="shared" si="8"/>
        <v>191.37222222222312</v>
      </c>
    </row>
    <row r="13" spans="1:10">
      <c r="A13" s="166">
        <f t="shared" si="9"/>
        <v>0.7222222222222221</v>
      </c>
      <c r="B13" s="167">
        <f t="shared" si="0"/>
        <v>202.22222222222285</v>
      </c>
      <c r="C13" s="168">
        <f t="shared" si="1"/>
        <v>213.77777777777908</v>
      </c>
      <c r="D13" s="167">
        <f t="shared" si="2"/>
        <v>220.99999999999892</v>
      </c>
      <c r="E13" s="168">
        <f t="shared" si="3"/>
        <v>187.77777777777715</v>
      </c>
      <c r="F13" s="167">
        <f t="shared" si="4"/>
        <v>199.33333333333275</v>
      </c>
      <c r="G13" s="168">
        <f t="shared" si="5"/>
        <v>206.55555555555591</v>
      </c>
      <c r="H13" s="167">
        <f t="shared" si="6"/>
        <v>173.33333333333428</v>
      </c>
      <c r="I13" s="168">
        <f t="shared" si="7"/>
        <v>184.88888888888914</v>
      </c>
      <c r="J13" s="167">
        <f t="shared" si="8"/>
        <v>192.111111111112</v>
      </c>
    </row>
    <row r="14" spans="1:10">
      <c r="A14" s="166">
        <f t="shared" si="9"/>
        <v>0.72499999999999987</v>
      </c>
      <c r="B14" s="167">
        <f t="shared" si="0"/>
        <v>203.00000000000063</v>
      </c>
      <c r="C14" s="168">
        <f t="shared" si="1"/>
        <v>214.6000000000013</v>
      </c>
      <c r="D14" s="167">
        <f t="shared" si="2"/>
        <v>221.84999999999891</v>
      </c>
      <c r="E14" s="168">
        <f t="shared" si="3"/>
        <v>188.49999999999937</v>
      </c>
      <c r="F14" s="167">
        <f t="shared" si="4"/>
        <v>200.09999999999943</v>
      </c>
      <c r="G14" s="168">
        <f t="shared" si="5"/>
        <v>207.35000000000036</v>
      </c>
      <c r="H14" s="167">
        <f t="shared" si="6"/>
        <v>174.00000000000094</v>
      </c>
      <c r="I14" s="168">
        <f t="shared" si="7"/>
        <v>185.60000000000025</v>
      </c>
      <c r="J14" s="167">
        <f t="shared" si="8"/>
        <v>192.85000000000088</v>
      </c>
    </row>
    <row r="15" spans="1:10">
      <c r="A15" s="166">
        <f t="shared" si="9"/>
        <v>0.72777777777777763</v>
      </c>
      <c r="B15" s="167">
        <f t="shared" si="0"/>
        <v>203.7777777777784</v>
      </c>
      <c r="C15" s="168">
        <f t="shared" si="1"/>
        <v>215.42222222222352</v>
      </c>
      <c r="D15" s="167">
        <f t="shared" si="2"/>
        <v>222.69999999999891</v>
      </c>
      <c r="E15" s="168">
        <f t="shared" si="3"/>
        <v>189.2222222222216</v>
      </c>
      <c r="F15" s="167">
        <f t="shared" si="4"/>
        <v>200.86666666666611</v>
      </c>
      <c r="G15" s="168">
        <f t="shared" si="5"/>
        <v>208.14444444444482</v>
      </c>
      <c r="H15" s="167">
        <f t="shared" si="6"/>
        <v>174.6666666666676</v>
      </c>
      <c r="I15" s="168">
        <f t="shared" si="7"/>
        <v>186.31111111111136</v>
      </c>
      <c r="J15" s="167">
        <f t="shared" si="8"/>
        <v>193.58888888888976</v>
      </c>
    </row>
    <row r="16" spans="1:10">
      <c r="A16" s="166">
        <f t="shared" si="9"/>
        <v>0.7305555555555554</v>
      </c>
      <c r="B16" s="167">
        <f t="shared" si="0"/>
        <v>204.55555555555617</v>
      </c>
      <c r="C16" s="168">
        <f t="shared" si="1"/>
        <v>216.24444444444575</v>
      </c>
      <c r="D16" s="167">
        <f t="shared" si="2"/>
        <v>223.5499999999989</v>
      </c>
      <c r="E16" s="168">
        <f t="shared" si="3"/>
        <v>189.94444444444383</v>
      </c>
      <c r="F16" s="167">
        <f t="shared" si="4"/>
        <v>201.63333333333279</v>
      </c>
      <c r="G16" s="168">
        <f t="shared" si="5"/>
        <v>208.93888888888927</v>
      </c>
      <c r="H16" s="167">
        <f t="shared" si="6"/>
        <v>175.33333333333425</v>
      </c>
      <c r="I16" s="168">
        <f t="shared" si="7"/>
        <v>187.02222222222247</v>
      </c>
      <c r="J16" s="167">
        <f t="shared" si="8"/>
        <v>194.32777777777864</v>
      </c>
    </row>
    <row r="17" spans="1:10">
      <c r="A17" s="166">
        <f t="shared" si="9"/>
        <v>0.73333333333333317</v>
      </c>
      <c r="B17" s="167">
        <f t="shared" si="0"/>
        <v>205.33333333333394</v>
      </c>
      <c r="C17" s="168">
        <f t="shared" si="1"/>
        <v>217.06666666666797</v>
      </c>
      <c r="D17" s="167">
        <f t="shared" si="2"/>
        <v>224.3999999999989</v>
      </c>
      <c r="E17" s="168">
        <f t="shared" si="3"/>
        <v>190.66666666666606</v>
      </c>
      <c r="F17" s="167">
        <f t="shared" si="4"/>
        <v>202.39999999999947</v>
      </c>
      <c r="G17" s="168">
        <f t="shared" si="5"/>
        <v>209.73333333333372</v>
      </c>
      <c r="H17" s="167">
        <f t="shared" si="6"/>
        <v>176.00000000000091</v>
      </c>
      <c r="I17" s="168">
        <f t="shared" si="7"/>
        <v>187.73333333333358</v>
      </c>
      <c r="J17" s="167">
        <f t="shared" si="8"/>
        <v>195.06666666666752</v>
      </c>
    </row>
    <row r="18" spans="1:10">
      <c r="A18" s="166">
        <f t="shared" si="9"/>
        <v>0.73611111111111094</v>
      </c>
      <c r="B18" s="167">
        <f t="shared" si="0"/>
        <v>206.11111111111171</v>
      </c>
      <c r="C18" s="168">
        <f t="shared" si="1"/>
        <v>217.88888888889019</v>
      </c>
      <c r="D18" s="167">
        <f t="shared" si="2"/>
        <v>225.24999999999889</v>
      </c>
      <c r="E18" s="168">
        <f t="shared" si="3"/>
        <v>191.38888888888829</v>
      </c>
      <c r="F18" s="167">
        <f t="shared" si="4"/>
        <v>203.16666666666615</v>
      </c>
      <c r="G18" s="168">
        <f t="shared" si="5"/>
        <v>210.52777777777817</v>
      </c>
      <c r="H18" s="167">
        <f t="shared" si="6"/>
        <v>176.66666666666757</v>
      </c>
      <c r="I18" s="168">
        <f t="shared" si="7"/>
        <v>188.44444444444468</v>
      </c>
      <c r="J18" s="167">
        <f t="shared" si="8"/>
        <v>195.8055555555564</v>
      </c>
    </row>
    <row r="19" spans="1:10">
      <c r="A19" s="166">
        <f t="shared" si="9"/>
        <v>0.73888888888888871</v>
      </c>
      <c r="B19" s="167">
        <f t="shared" si="0"/>
        <v>206.88888888888948</v>
      </c>
      <c r="C19" s="168">
        <f t="shared" si="1"/>
        <v>218.71111111111242</v>
      </c>
      <c r="D19" s="167">
        <f t="shared" si="2"/>
        <v>226.09999999999889</v>
      </c>
      <c r="E19" s="168">
        <f t="shared" si="3"/>
        <v>192.11111111111052</v>
      </c>
      <c r="F19" s="167">
        <f t="shared" si="4"/>
        <v>203.93333333333283</v>
      </c>
      <c r="G19" s="168">
        <f t="shared" si="5"/>
        <v>211.32222222222262</v>
      </c>
      <c r="H19" s="167">
        <f t="shared" si="6"/>
        <v>177.33333333333422</v>
      </c>
      <c r="I19" s="168">
        <f t="shared" si="7"/>
        <v>189.15555555555579</v>
      </c>
      <c r="J19" s="167">
        <f t="shared" si="8"/>
        <v>196.54444444444528</v>
      </c>
    </row>
    <row r="20" spans="1:10">
      <c r="A20" s="166">
        <f t="shared" si="9"/>
        <v>0.74166666666666647</v>
      </c>
      <c r="B20" s="167">
        <f t="shared" si="0"/>
        <v>207.66666666666725</v>
      </c>
      <c r="C20" s="168">
        <f t="shared" si="1"/>
        <v>219.53333333333464</v>
      </c>
      <c r="D20" s="167">
        <f t="shared" si="2"/>
        <v>226.94999999999888</v>
      </c>
      <c r="E20" s="168">
        <f t="shared" si="3"/>
        <v>192.83333333333275</v>
      </c>
      <c r="F20" s="167">
        <f t="shared" si="4"/>
        <v>204.69999999999951</v>
      </c>
      <c r="G20" s="168">
        <f t="shared" si="5"/>
        <v>212.11666666666707</v>
      </c>
      <c r="H20" s="167">
        <f t="shared" si="6"/>
        <v>178.00000000000088</v>
      </c>
      <c r="I20" s="168">
        <f t="shared" si="7"/>
        <v>189.8666666666669</v>
      </c>
      <c r="J20" s="167">
        <f t="shared" si="8"/>
        <v>197.28333333333416</v>
      </c>
    </row>
    <row r="21" spans="1:10">
      <c r="A21" s="166">
        <f t="shared" si="9"/>
        <v>0.74444444444444424</v>
      </c>
      <c r="B21" s="167">
        <f t="shared" si="0"/>
        <v>208.44444444444503</v>
      </c>
      <c r="C21" s="168">
        <f t="shared" si="1"/>
        <v>220.35555555555686</v>
      </c>
      <c r="D21" s="167">
        <f t="shared" si="2"/>
        <v>227.79999999999887</v>
      </c>
      <c r="E21" s="168">
        <f t="shared" si="3"/>
        <v>193.55555555555497</v>
      </c>
      <c r="F21" s="167">
        <f t="shared" si="4"/>
        <v>205.46666666666619</v>
      </c>
      <c r="G21" s="168">
        <f t="shared" si="5"/>
        <v>212.91111111111152</v>
      </c>
      <c r="H21" s="167">
        <f t="shared" si="6"/>
        <v>178.66666666666754</v>
      </c>
      <c r="I21" s="168">
        <f t="shared" si="7"/>
        <v>190.57777777777801</v>
      </c>
      <c r="J21" s="167">
        <f t="shared" si="8"/>
        <v>198.02222222222304</v>
      </c>
    </row>
    <row r="22" spans="1:10">
      <c r="A22" s="166">
        <f t="shared" si="9"/>
        <v>0.74722222222222201</v>
      </c>
      <c r="B22" s="167">
        <f t="shared" si="0"/>
        <v>209.2222222222228</v>
      </c>
      <c r="C22" s="168">
        <f t="shared" si="1"/>
        <v>221.17777777777908</v>
      </c>
      <c r="D22" s="167">
        <f t="shared" si="2"/>
        <v>228.64999999999887</v>
      </c>
      <c r="E22" s="168">
        <f t="shared" si="3"/>
        <v>194.2777777777772</v>
      </c>
      <c r="F22" s="167">
        <f t="shared" si="4"/>
        <v>206.23333333333287</v>
      </c>
      <c r="G22" s="168">
        <f t="shared" si="5"/>
        <v>213.70555555555597</v>
      </c>
      <c r="H22" s="167">
        <f t="shared" si="6"/>
        <v>179.3333333333342</v>
      </c>
      <c r="I22" s="168">
        <f t="shared" si="7"/>
        <v>191.28888888888912</v>
      </c>
      <c r="J22" s="167">
        <f t="shared" si="8"/>
        <v>198.76111111111192</v>
      </c>
    </row>
    <row r="23" spans="1:10">
      <c r="A23" s="166">
        <f t="shared" si="9"/>
        <v>0.74999999999999978</v>
      </c>
      <c r="B23" s="167">
        <f t="shared" si="0"/>
        <v>210.00000000000057</v>
      </c>
      <c r="C23" s="168">
        <f t="shared" si="1"/>
        <v>222.00000000000131</v>
      </c>
      <c r="D23" s="167">
        <f t="shared" si="2"/>
        <v>229.49999999999886</v>
      </c>
      <c r="E23" s="168">
        <f t="shared" si="3"/>
        <v>194.99999999999943</v>
      </c>
      <c r="F23" s="167">
        <f t="shared" si="4"/>
        <v>206.99999999999955</v>
      </c>
      <c r="G23" s="168">
        <f t="shared" si="5"/>
        <v>214.50000000000043</v>
      </c>
      <c r="H23" s="167">
        <f t="shared" si="6"/>
        <v>180.00000000000085</v>
      </c>
      <c r="I23" s="168">
        <f t="shared" si="7"/>
        <v>192.00000000000023</v>
      </c>
      <c r="J23" s="167">
        <f t="shared" si="8"/>
        <v>199.5000000000008</v>
      </c>
    </row>
    <row r="24" spans="1:10">
      <c r="A24" s="166">
        <f t="shared" si="9"/>
        <v>0.75277777777777755</v>
      </c>
      <c r="B24" s="167">
        <f t="shared" si="0"/>
        <v>210.77777777777834</v>
      </c>
      <c r="C24" s="168">
        <f t="shared" si="1"/>
        <v>222.82222222222353</v>
      </c>
      <c r="D24" s="167">
        <f t="shared" si="2"/>
        <v>230.34999999999886</v>
      </c>
      <c r="E24" s="168">
        <f t="shared" si="3"/>
        <v>195.72222222222166</v>
      </c>
      <c r="F24" s="167">
        <f t="shared" si="4"/>
        <v>207.76666666666623</v>
      </c>
      <c r="G24" s="168">
        <f t="shared" si="5"/>
        <v>215.29444444444488</v>
      </c>
      <c r="H24" s="167">
        <f t="shared" si="6"/>
        <v>180.66666666666751</v>
      </c>
      <c r="I24" s="168">
        <f t="shared" si="7"/>
        <v>192.71111111111134</v>
      </c>
      <c r="J24" s="167">
        <f t="shared" si="8"/>
        <v>200.23888888888968</v>
      </c>
    </row>
    <row r="25" spans="1:10">
      <c r="A25" s="166">
        <f t="shared" si="9"/>
        <v>0.75555555555555531</v>
      </c>
      <c r="B25" s="167">
        <f t="shared" si="0"/>
        <v>211.55555555555611</v>
      </c>
      <c r="C25" s="168">
        <f t="shared" si="1"/>
        <v>223.64444444444575</v>
      </c>
      <c r="D25" s="167">
        <f t="shared" si="2"/>
        <v>231.19999999999885</v>
      </c>
      <c r="E25" s="168">
        <f t="shared" si="3"/>
        <v>196.44444444444389</v>
      </c>
      <c r="F25" s="167">
        <f t="shared" si="4"/>
        <v>208.53333333333291</v>
      </c>
      <c r="G25" s="168">
        <f t="shared" si="5"/>
        <v>216.08888888888933</v>
      </c>
      <c r="H25" s="167">
        <f t="shared" si="6"/>
        <v>181.33333333333417</v>
      </c>
      <c r="I25" s="168">
        <f t="shared" si="7"/>
        <v>193.42222222222244</v>
      </c>
      <c r="J25" s="167">
        <f t="shared" si="8"/>
        <v>200.97777777777856</v>
      </c>
    </row>
    <row r="26" spans="1:10">
      <c r="A26" s="166">
        <f t="shared" si="9"/>
        <v>0.75833333333333308</v>
      </c>
      <c r="B26" s="167">
        <f t="shared" si="0"/>
        <v>212.33333333333388</v>
      </c>
      <c r="C26" s="168">
        <f t="shared" si="1"/>
        <v>224.46666666666798</v>
      </c>
      <c r="D26" s="167">
        <f t="shared" si="2"/>
        <v>232.04999999999885</v>
      </c>
      <c r="E26" s="168">
        <f t="shared" si="3"/>
        <v>197.16666666666612</v>
      </c>
      <c r="F26" s="167">
        <f t="shared" si="4"/>
        <v>209.29999999999959</v>
      </c>
      <c r="G26" s="168">
        <f t="shared" si="5"/>
        <v>216.88333333333378</v>
      </c>
      <c r="H26" s="167">
        <f t="shared" si="6"/>
        <v>182.00000000000082</v>
      </c>
      <c r="I26" s="168">
        <f t="shared" si="7"/>
        <v>194.13333333333355</v>
      </c>
      <c r="J26" s="167">
        <f t="shared" si="8"/>
        <v>201.71666666666744</v>
      </c>
    </row>
    <row r="27" spans="1:10">
      <c r="A27" s="166">
        <f t="shared" si="9"/>
        <v>0.76111111111111085</v>
      </c>
      <c r="B27" s="167">
        <f t="shared" si="0"/>
        <v>213.11111111111165</v>
      </c>
      <c r="C27" s="168">
        <f t="shared" si="1"/>
        <v>225.2888888888902</v>
      </c>
      <c r="D27" s="167">
        <f t="shared" si="2"/>
        <v>232.89999999999884</v>
      </c>
      <c r="E27" s="168">
        <f t="shared" si="3"/>
        <v>197.88888888888835</v>
      </c>
      <c r="F27" s="167">
        <f t="shared" si="4"/>
        <v>210.06666666666626</v>
      </c>
      <c r="G27" s="168">
        <f t="shared" si="5"/>
        <v>217.67777777777823</v>
      </c>
      <c r="H27" s="167">
        <f t="shared" si="6"/>
        <v>182.66666666666748</v>
      </c>
      <c r="I27" s="168">
        <f t="shared" si="7"/>
        <v>194.84444444444466</v>
      </c>
      <c r="J27" s="167">
        <f t="shared" si="8"/>
        <v>202.45555555555632</v>
      </c>
    </row>
    <row r="28" spans="1:10">
      <c r="A28" s="166">
        <f t="shared" si="9"/>
        <v>0.76388888888888862</v>
      </c>
      <c r="B28" s="167">
        <f t="shared" si="0"/>
        <v>213.88888888888943</v>
      </c>
      <c r="C28" s="168">
        <f t="shared" si="1"/>
        <v>226.11111111111242</v>
      </c>
      <c r="D28" s="167">
        <f t="shared" si="2"/>
        <v>233.74999999999883</v>
      </c>
      <c r="E28" s="168">
        <f t="shared" si="3"/>
        <v>198.61111111111057</v>
      </c>
      <c r="F28" s="167">
        <f t="shared" si="4"/>
        <v>210.83333333333294</v>
      </c>
      <c r="G28" s="168">
        <f t="shared" si="5"/>
        <v>218.47222222222268</v>
      </c>
      <c r="H28" s="167">
        <f t="shared" si="6"/>
        <v>183.33333333333414</v>
      </c>
      <c r="I28" s="168">
        <f t="shared" si="7"/>
        <v>195.55555555555577</v>
      </c>
      <c r="J28" s="167">
        <f t="shared" si="8"/>
        <v>203.1944444444452</v>
      </c>
    </row>
    <row r="29" spans="1:10">
      <c r="A29" s="166">
        <f t="shared" si="9"/>
        <v>0.76666666666666639</v>
      </c>
      <c r="B29" s="167">
        <f t="shared" si="0"/>
        <v>214.6666666666672</v>
      </c>
      <c r="C29" s="168">
        <f t="shared" si="1"/>
        <v>226.93333333333464</v>
      </c>
      <c r="D29" s="167">
        <f t="shared" si="2"/>
        <v>234.59999999999883</v>
      </c>
      <c r="E29" s="168">
        <f t="shared" si="3"/>
        <v>199.3333333333328</v>
      </c>
      <c r="F29" s="167">
        <f t="shared" si="4"/>
        <v>211.59999999999962</v>
      </c>
      <c r="G29" s="168">
        <f t="shared" si="5"/>
        <v>219.26666666666713</v>
      </c>
      <c r="H29" s="167">
        <f t="shared" si="6"/>
        <v>184.0000000000008</v>
      </c>
      <c r="I29" s="168">
        <f t="shared" si="7"/>
        <v>196.26666666666688</v>
      </c>
      <c r="J29" s="167">
        <f t="shared" si="8"/>
        <v>203.93333333333408</v>
      </c>
    </row>
    <row r="30" spans="1:10">
      <c r="A30" s="166">
        <f t="shared" si="9"/>
        <v>0.76944444444444415</v>
      </c>
      <c r="B30" s="167">
        <f t="shared" si="0"/>
        <v>215.44444444444497</v>
      </c>
      <c r="C30" s="168">
        <f t="shared" si="1"/>
        <v>227.75555555555687</v>
      </c>
      <c r="D30" s="167">
        <f t="shared" si="2"/>
        <v>235.44999999999882</v>
      </c>
      <c r="E30" s="168">
        <f t="shared" si="3"/>
        <v>200.05555555555503</v>
      </c>
      <c r="F30" s="167">
        <f t="shared" si="4"/>
        <v>212.3666666666663</v>
      </c>
      <c r="G30" s="168">
        <f t="shared" si="5"/>
        <v>220.06111111111159</v>
      </c>
      <c r="H30" s="167">
        <f t="shared" si="6"/>
        <v>184.66666666666745</v>
      </c>
      <c r="I30" s="168">
        <f t="shared" si="7"/>
        <v>196.97777777777799</v>
      </c>
      <c r="J30" s="167">
        <f t="shared" si="8"/>
        <v>204.67222222222296</v>
      </c>
    </row>
    <row r="31" spans="1:10">
      <c r="A31" s="166">
        <f t="shared" si="9"/>
        <v>0.77222222222222192</v>
      </c>
      <c r="B31" s="167">
        <f t="shared" si="0"/>
        <v>216.22222222222274</v>
      </c>
      <c r="C31" s="168">
        <f t="shared" si="1"/>
        <v>228.57777777777909</v>
      </c>
      <c r="D31" s="167">
        <f t="shared" si="2"/>
        <v>236.29999999999882</v>
      </c>
      <c r="E31" s="168">
        <f t="shared" si="3"/>
        <v>200.77777777777726</v>
      </c>
      <c r="F31" s="167">
        <f t="shared" si="4"/>
        <v>213.13333333333298</v>
      </c>
      <c r="G31" s="168">
        <f t="shared" si="5"/>
        <v>220.85555555555604</v>
      </c>
      <c r="H31" s="167">
        <f t="shared" si="6"/>
        <v>185.33333333333411</v>
      </c>
      <c r="I31" s="168">
        <f t="shared" si="7"/>
        <v>197.6888888888891</v>
      </c>
      <c r="J31" s="167">
        <f t="shared" si="8"/>
        <v>205.41111111111184</v>
      </c>
    </row>
    <row r="32" spans="1:10">
      <c r="A32" s="166">
        <f t="shared" si="9"/>
        <v>0.77499999999999969</v>
      </c>
      <c r="B32" s="167">
        <f t="shared" si="0"/>
        <v>217.00000000000051</v>
      </c>
      <c r="C32" s="168">
        <f t="shared" si="1"/>
        <v>229.40000000000131</v>
      </c>
      <c r="D32" s="167">
        <f t="shared" si="2"/>
        <v>237.14999999999881</v>
      </c>
      <c r="E32" s="168">
        <f t="shared" si="3"/>
        <v>201.49999999999949</v>
      </c>
      <c r="F32" s="167">
        <f t="shared" si="4"/>
        <v>213.89999999999966</v>
      </c>
      <c r="G32" s="168">
        <f t="shared" si="5"/>
        <v>221.65000000000049</v>
      </c>
      <c r="H32" s="167">
        <f t="shared" si="6"/>
        <v>186.00000000000077</v>
      </c>
      <c r="I32" s="168">
        <f t="shared" si="7"/>
        <v>198.4000000000002</v>
      </c>
      <c r="J32" s="167">
        <f t="shared" si="8"/>
        <v>206.15000000000072</v>
      </c>
    </row>
    <row r="33" spans="1:10">
      <c r="A33" s="166">
        <f t="shared" si="9"/>
        <v>0.77777777777777746</v>
      </c>
      <c r="B33" s="167">
        <f>B34-(B$113*0.2/72)</f>
        <v>217.77777777777828</v>
      </c>
      <c r="C33" s="168">
        <f>C34-(C$113*0.2/72)</f>
        <v>230.22222222222354</v>
      </c>
      <c r="D33" s="167">
        <f>D34-(D$113*0.2/72)</f>
        <v>237.99999999999881</v>
      </c>
      <c r="E33" s="168">
        <f t="shared" ref="E33:J75" si="10">E34-(E$113*0.2/72)</f>
        <v>202.22222222222172</v>
      </c>
      <c r="F33" s="167">
        <f t="shared" si="10"/>
        <v>214.66666666666634</v>
      </c>
      <c r="G33" s="168">
        <f t="shared" si="10"/>
        <v>222.44444444444494</v>
      </c>
      <c r="H33" s="167">
        <f t="shared" si="10"/>
        <v>186.66666666666742</v>
      </c>
      <c r="I33" s="168">
        <f t="shared" si="10"/>
        <v>199.11111111111131</v>
      </c>
      <c r="J33" s="167">
        <f t="shared" si="10"/>
        <v>206.8888888888896</v>
      </c>
    </row>
    <row r="34" spans="1:10">
      <c r="A34" s="166">
        <f t="shared" si="9"/>
        <v>0.78055555555555522</v>
      </c>
      <c r="B34" s="167">
        <f t="shared" ref="B34:G97" si="11">B35-(B$113*0.2/72)</f>
        <v>218.55555555555605</v>
      </c>
      <c r="C34" s="168">
        <f t="shared" si="11"/>
        <v>231.04444444444576</v>
      </c>
      <c r="D34" s="167">
        <f t="shared" si="11"/>
        <v>238.8499999999988</v>
      </c>
      <c r="E34" s="168">
        <f t="shared" si="10"/>
        <v>202.94444444444395</v>
      </c>
      <c r="F34" s="167">
        <f t="shared" si="10"/>
        <v>215.43333333333302</v>
      </c>
      <c r="G34" s="168">
        <f t="shared" si="10"/>
        <v>223.23888888888939</v>
      </c>
      <c r="H34" s="167">
        <f t="shared" si="10"/>
        <v>187.33333333333408</v>
      </c>
      <c r="I34" s="168">
        <f t="shared" si="10"/>
        <v>199.82222222222242</v>
      </c>
      <c r="J34" s="167">
        <f t="shared" si="10"/>
        <v>207.62777777777848</v>
      </c>
    </row>
    <row r="35" spans="1:10">
      <c r="A35" s="166">
        <f t="shared" si="9"/>
        <v>0.78333333333333299</v>
      </c>
      <c r="B35" s="167">
        <f t="shared" si="11"/>
        <v>219.33333333333383</v>
      </c>
      <c r="C35" s="168">
        <f t="shared" si="11"/>
        <v>231.86666666666798</v>
      </c>
      <c r="D35" s="167">
        <f t="shared" si="11"/>
        <v>239.69999999999879</v>
      </c>
      <c r="E35" s="168">
        <f t="shared" si="10"/>
        <v>203.66666666666617</v>
      </c>
      <c r="F35" s="167">
        <f t="shared" si="10"/>
        <v>216.1999999999997</v>
      </c>
      <c r="G35" s="168">
        <f t="shared" si="10"/>
        <v>224.03333333333384</v>
      </c>
      <c r="H35" s="167">
        <f t="shared" si="10"/>
        <v>188.00000000000074</v>
      </c>
      <c r="I35" s="168">
        <f t="shared" si="10"/>
        <v>200.53333333333353</v>
      </c>
      <c r="J35" s="167">
        <f t="shared" si="10"/>
        <v>208.36666666666736</v>
      </c>
    </row>
    <row r="36" spans="1:10">
      <c r="A36" s="166">
        <f t="shared" si="9"/>
        <v>0.78611111111111076</v>
      </c>
      <c r="B36" s="167">
        <f t="shared" si="11"/>
        <v>220.1111111111116</v>
      </c>
      <c r="C36" s="168">
        <f t="shared" si="11"/>
        <v>232.6888888888902</v>
      </c>
      <c r="D36" s="167">
        <f t="shared" si="11"/>
        <v>240.54999999999879</v>
      </c>
      <c r="E36" s="168">
        <f t="shared" si="10"/>
        <v>204.3888888888884</v>
      </c>
      <c r="F36" s="167">
        <f t="shared" si="10"/>
        <v>216.96666666666638</v>
      </c>
      <c r="G36" s="168">
        <f t="shared" si="10"/>
        <v>224.82777777777829</v>
      </c>
      <c r="H36" s="167">
        <f t="shared" si="10"/>
        <v>188.6666666666674</v>
      </c>
      <c r="I36" s="168">
        <f t="shared" si="10"/>
        <v>201.24444444444464</v>
      </c>
      <c r="J36" s="167">
        <f t="shared" si="10"/>
        <v>209.10555555555624</v>
      </c>
    </row>
    <row r="37" spans="1:10">
      <c r="A37" s="166">
        <f t="shared" si="9"/>
        <v>0.78888888888888853</v>
      </c>
      <c r="B37" s="167">
        <f t="shared" si="11"/>
        <v>220.88888888888937</v>
      </c>
      <c r="C37" s="168">
        <f t="shared" si="11"/>
        <v>233.51111111111243</v>
      </c>
      <c r="D37" s="167">
        <f t="shared" si="11"/>
        <v>241.39999999999878</v>
      </c>
      <c r="E37" s="168">
        <f t="shared" si="10"/>
        <v>205.11111111111063</v>
      </c>
      <c r="F37" s="167">
        <f t="shared" si="10"/>
        <v>217.73333333333306</v>
      </c>
      <c r="G37" s="168">
        <f t="shared" si="10"/>
        <v>225.62222222222275</v>
      </c>
      <c r="H37" s="167">
        <f t="shared" si="10"/>
        <v>189.33333333333405</v>
      </c>
      <c r="I37" s="168">
        <f t="shared" si="10"/>
        <v>201.95555555555575</v>
      </c>
      <c r="J37" s="167">
        <f t="shared" si="10"/>
        <v>209.84444444444512</v>
      </c>
    </row>
    <row r="38" spans="1:10">
      <c r="A38" s="166">
        <f t="shared" si="9"/>
        <v>0.7916666666666663</v>
      </c>
      <c r="B38" s="167">
        <f t="shared" si="11"/>
        <v>221.66666666666714</v>
      </c>
      <c r="C38" s="168">
        <f t="shared" si="11"/>
        <v>234.33333333333465</v>
      </c>
      <c r="D38" s="167">
        <f t="shared" si="11"/>
        <v>242.24999999999878</v>
      </c>
      <c r="E38" s="168">
        <f t="shared" si="10"/>
        <v>205.83333333333286</v>
      </c>
      <c r="F38" s="167">
        <f t="shared" si="10"/>
        <v>218.49999999999974</v>
      </c>
      <c r="G38" s="168">
        <f t="shared" si="10"/>
        <v>226.4166666666672</v>
      </c>
      <c r="H38" s="167">
        <f t="shared" si="10"/>
        <v>190.00000000000071</v>
      </c>
      <c r="I38" s="168">
        <f t="shared" si="10"/>
        <v>202.66666666666686</v>
      </c>
      <c r="J38" s="167">
        <f t="shared" si="10"/>
        <v>210.583333333334</v>
      </c>
    </row>
    <row r="39" spans="1:10">
      <c r="A39" s="166">
        <f t="shared" si="9"/>
        <v>0.79444444444444406</v>
      </c>
      <c r="B39" s="167">
        <f t="shared" si="11"/>
        <v>222.44444444444491</v>
      </c>
      <c r="C39" s="168">
        <f t="shared" si="11"/>
        <v>235.15555555555687</v>
      </c>
      <c r="D39" s="167">
        <f t="shared" si="11"/>
        <v>243.09999999999877</v>
      </c>
      <c r="E39" s="168">
        <f t="shared" si="10"/>
        <v>206.55555555555509</v>
      </c>
      <c r="F39" s="167">
        <f t="shared" si="10"/>
        <v>219.26666666666642</v>
      </c>
      <c r="G39" s="168">
        <f t="shared" si="10"/>
        <v>227.21111111111165</v>
      </c>
      <c r="H39" s="167">
        <f t="shared" si="10"/>
        <v>190.66666666666737</v>
      </c>
      <c r="I39" s="168">
        <f t="shared" si="10"/>
        <v>203.37777777777796</v>
      </c>
      <c r="J39" s="167">
        <f t="shared" si="10"/>
        <v>211.32222222222288</v>
      </c>
    </row>
    <row r="40" spans="1:10">
      <c r="A40" s="166">
        <f t="shared" si="9"/>
        <v>0.79722222222222183</v>
      </c>
      <c r="B40" s="167">
        <f t="shared" si="11"/>
        <v>223.22222222222268</v>
      </c>
      <c r="C40" s="168">
        <f t="shared" si="11"/>
        <v>235.9777777777791</v>
      </c>
      <c r="D40" s="167">
        <f t="shared" si="11"/>
        <v>243.94999999999877</v>
      </c>
      <c r="E40" s="168">
        <f t="shared" si="10"/>
        <v>207.27777777777732</v>
      </c>
      <c r="F40" s="167">
        <f t="shared" si="10"/>
        <v>220.0333333333331</v>
      </c>
      <c r="G40" s="168">
        <f t="shared" si="10"/>
        <v>228.0055555555561</v>
      </c>
      <c r="H40" s="167">
        <f t="shared" si="10"/>
        <v>191.33333333333402</v>
      </c>
      <c r="I40" s="168">
        <f t="shared" si="10"/>
        <v>204.08888888888907</v>
      </c>
      <c r="J40" s="167">
        <f t="shared" si="10"/>
        <v>212.06111111111176</v>
      </c>
    </row>
    <row r="41" spans="1:10">
      <c r="A41" s="166">
        <f t="shared" si="9"/>
        <v>0.7999999999999996</v>
      </c>
      <c r="B41" s="167">
        <f t="shared" si="11"/>
        <v>224.00000000000045</v>
      </c>
      <c r="C41" s="168">
        <f t="shared" si="11"/>
        <v>236.80000000000132</v>
      </c>
      <c r="D41" s="167">
        <f t="shared" si="11"/>
        <v>244.79999999999876</v>
      </c>
      <c r="E41" s="168">
        <f t="shared" si="10"/>
        <v>207.99999999999955</v>
      </c>
      <c r="F41" s="167">
        <f t="shared" si="10"/>
        <v>220.79999999999978</v>
      </c>
      <c r="G41" s="168">
        <f t="shared" si="10"/>
        <v>228.80000000000055</v>
      </c>
      <c r="H41" s="167">
        <f t="shared" si="10"/>
        <v>192.00000000000068</v>
      </c>
      <c r="I41" s="168">
        <f t="shared" si="10"/>
        <v>204.80000000000018</v>
      </c>
      <c r="J41" s="167">
        <f t="shared" si="10"/>
        <v>212.80000000000064</v>
      </c>
    </row>
    <row r="42" spans="1:10">
      <c r="A42" s="166">
        <f t="shared" si="9"/>
        <v>0.80277777777777737</v>
      </c>
      <c r="B42" s="167">
        <f t="shared" si="11"/>
        <v>224.77777777777823</v>
      </c>
      <c r="C42" s="168">
        <f t="shared" si="11"/>
        <v>237.62222222222354</v>
      </c>
      <c r="D42" s="167">
        <f t="shared" si="11"/>
        <v>245.64999999999876</v>
      </c>
      <c r="E42" s="168">
        <f t="shared" si="10"/>
        <v>208.72222222222177</v>
      </c>
      <c r="F42" s="167">
        <f t="shared" si="10"/>
        <v>221.56666666666646</v>
      </c>
      <c r="G42" s="168">
        <f t="shared" si="10"/>
        <v>229.594444444445</v>
      </c>
      <c r="H42" s="167">
        <f t="shared" si="10"/>
        <v>192.66666666666734</v>
      </c>
      <c r="I42" s="168">
        <f t="shared" si="10"/>
        <v>205.51111111111129</v>
      </c>
      <c r="J42" s="167">
        <f t="shared" si="10"/>
        <v>213.53888888888952</v>
      </c>
    </row>
    <row r="43" spans="1:10">
      <c r="A43" s="166">
        <f t="shared" si="9"/>
        <v>0.80555555555555514</v>
      </c>
      <c r="B43" s="167">
        <f t="shared" si="11"/>
        <v>225.555555555556</v>
      </c>
      <c r="C43" s="168">
        <f t="shared" si="11"/>
        <v>238.44444444444576</v>
      </c>
      <c r="D43" s="167">
        <f t="shared" si="11"/>
        <v>246.49999999999875</v>
      </c>
      <c r="E43" s="168">
        <f t="shared" si="10"/>
        <v>209.444444444444</v>
      </c>
      <c r="F43" s="167">
        <f t="shared" si="10"/>
        <v>222.33333333333314</v>
      </c>
      <c r="G43" s="168">
        <f t="shared" si="10"/>
        <v>230.38888888888945</v>
      </c>
      <c r="H43" s="167">
        <f t="shared" si="10"/>
        <v>193.333333333334</v>
      </c>
      <c r="I43" s="168">
        <f t="shared" si="10"/>
        <v>206.2222222222224</v>
      </c>
      <c r="J43" s="167">
        <f t="shared" si="10"/>
        <v>214.2777777777784</v>
      </c>
    </row>
    <row r="44" spans="1:10">
      <c r="A44" s="166">
        <f t="shared" si="9"/>
        <v>0.8083333333333329</v>
      </c>
      <c r="B44" s="167">
        <f t="shared" si="11"/>
        <v>226.33333333333377</v>
      </c>
      <c r="C44" s="168">
        <f t="shared" si="11"/>
        <v>239.26666666666799</v>
      </c>
      <c r="D44" s="167">
        <f t="shared" si="11"/>
        <v>247.34999999999874</v>
      </c>
      <c r="E44" s="168">
        <f t="shared" si="10"/>
        <v>210.16666666666623</v>
      </c>
      <c r="F44" s="167">
        <f t="shared" si="10"/>
        <v>223.09999999999982</v>
      </c>
      <c r="G44" s="168">
        <f t="shared" si="10"/>
        <v>231.18333333333391</v>
      </c>
      <c r="H44" s="167">
        <f t="shared" si="10"/>
        <v>194.00000000000065</v>
      </c>
      <c r="I44" s="168">
        <f t="shared" si="10"/>
        <v>206.93333333333351</v>
      </c>
      <c r="J44" s="167">
        <f t="shared" si="10"/>
        <v>215.01666666666728</v>
      </c>
    </row>
    <row r="45" spans="1:10">
      <c r="A45" s="166">
        <f t="shared" si="9"/>
        <v>0.81111111111111067</v>
      </c>
      <c r="B45" s="167">
        <f t="shared" si="11"/>
        <v>227.11111111111154</v>
      </c>
      <c r="C45" s="168">
        <f t="shared" si="11"/>
        <v>240.08888888889021</v>
      </c>
      <c r="D45" s="167">
        <f t="shared" si="11"/>
        <v>248.19999999999874</v>
      </c>
      <c r="E45" s="168">
        <f t="shared" si="10"/>
        <v>210.88888888888846</v>
      </c>
      <c r="F45" s="167">
        <f t="shared" si="10"/>
        <v>223.8666666666665</v>
      </c>
      <c r="G45" s="168">
        <f t="shared" si="10"/>
        <v>231.97777777777836</v>
      </c>
      <c r="H45" s="167">
        <f t="shared" si="10"/>
        <v>194.66666666666731</v>
      </c>
      <c r="I45" s="168">
        <f t="shared" si="10"/>
        <v>207.64444444444462</v>
      </c>
      <c r="J45" s="167">
        <f t="shared" si="10"/>
        <v>215.75555555555616</v>
      </c>
    </row>
    <row r="46" spans="1:10">
      <c r="A46" s="166">
        <f t="shared" si="9"/>
        <v>0.81388888888888844</v>
      </c>
      <c r="B46" s="167">
        <f t="shared" si="11"/>
        <v>227.88888888888931</v>
      </c>
      <c r="C46" s="168">
        <f t="shared" si="11"/>
        <v>240.91111111111243</v>
      </c>
      <c r="D46" s="167">
        <f t="shared" si="11"/>
        <v>249.04999999999873</v>
      </c>
      <c r="E46" s="168">
        <f t="shared" si="10"/>
        <v>211.61111111111069</v>
      </c>
      <c r="F46" s="167">
        <f t="shared" si="10"/>
        <v>224.63333333333318</v>
      </c>
      <c r="G46" s="168">
        <f t="shared" si="10"/>
        <v>232.77222222222281</v>
      </c>
      <c r="H46" s="167">
        <f t="shared" si="10"/>
        <v>195.33333333333397</v>
      </c>
      <c r="I46" s="168">
        <f t="shared" si="10"/>
        <v>208.35555555555572</v>
      </c>
      <c r="J46" s="167">
        <f t="shared" si="10"/>
        <v>216.49444444444504</v>
      </c>
    </row>
    <row r="47" spans="1:10">
      <c r="A47" s="166">
        <f t="shared" si="9"/>
        <v>0.81666666666666621</v>
      </c>
      <c r="B47" s="167">
        <f t="shared" si="11"/>
        <v>228.66666666666708</v>
      </c>
      <c r="C47" s="168">
        <f t="shared" si="11"/>
        <v>241.73333333333466</v>
      </c>
      <c r="D47" s="167">
        <f t="shared" si="11"/>
        <v>249.89999999999873</v>
      </c>
      <c r="E47" s="168">
        <f t="shared" si="10"/>
        <v>212.33333333333292</v>
      </c>
      <c r="F47" s="167">
        <f t="shared" si="10"/>
        <v>225.39999999999986</v>
      </c>
      <c r="G47" s="168">
        <f t="shared" si="10"/>
        <v>233.56666666666726</v>
      </c>
      <c r="H47" s="167">
        <f t="shared" si="10"/>
        <v>196.00000000000063</v>
      </c>
      <c r="I47" s="168">
        <f t="shared" si="10"/>
        <v>209.06666666666683</v>
      </c>
      <c r="J47" s="167">
        <f t="shared" si="10"/>
        <v>217.23333333333392</v>
      </c>
    </row>
    <row r="48" spans="1:10">
      <c r="A48" s="166">
        <f t="shared" si="9"/>
        <v>0.81944444444444398</v>
      </c>
      <c r="B48" s="167">
        <f t="shared" si="11"/>
        <v>229.44444444444485</v>
      </c>
      <c r="C48" s="168">
        <f t="shared" si="11"/>
        <v>242.55555555555688</v>
      </c>
      <c r="D48" s="167">
        <f t="shared" si="11"/>
        <v>250.74999999999872</v>
      </c>
      <c r="E48" s="168">
        <f t="shared" si="10"/>
        <v>213.05555555555515</v>
      </c>
      <c r="F48" s="167">
        <f t="shared" si="10"/>
        <v>226.16666666666654</v>
      </c>
      <c r="G48" s="168">
        <f t="shared" si="10"/>
        <v>234.36111111111171</v>
      </c>
      <c r="H48" s="167">
        <f t="shared" si="10"/>
        <v>196.66666666666728</v>
      </c>
      <c r="I48" s="168">
        <f t="shared" si="10"/>
        <v>209.77777777777794</v>
      </c>
      <c r="J48" s="167">
        <f t="shared" si="10"/>
        <v>217.9722222222228</v>
      </c>
    </row>
    <row r="49" spans="1:10">
      <c r="A49" s="166">
        <f t="shared" si="9"/>
        <v>0.82222222222222174</v>
      </c>
      <c r="B49" s="167">
        <f t="shared" si="11"/>
        <v>230.22222222222263</v>
      </c>
      <c r="C49" s="168">
        <f t="shared" si="11"/>
        <v>243.3777777777791</v>
      </c>
      <c r="D49" s="167">
        <f t="shared" si="11"/>
        <v>251.59999999999872</v>
      </c>
      <c r="E49" s="168">
        <f t="shared" si="10"/>
        <v>213.77777777777737</v>
      </c>
      <c r="F49" s="167">
        <f t="shared" si="10"/>
        <v>226.93333333333322</v>
      </c>
      <c r="G49" s="168">
        <f t="shared" si="10"/>
        <v>235.15555555555616</v>
      </c>
      <c r="H49" s="167">
        <f t="shared" si="10"/>
        <v>197.33333333333394</v>
      </c>
      <c r="I49" s="168">
        <f t="shared" si="10"/>
        <v>210.48888888888905</v>
      </c>
      <c r="J49" s="167">
        <f t="shared" si="10"/>
        <v>218.71111111111168</v>
      </c>
    </row>
    <row r="50" spans="1:10">
      <c r="A50" s="166">
        <f t="shared" si="9"/>
        <v>0.82499999999999951</v>
      </c>
      <c r="B50" s="167">
        <f t="shared" si="11"/>
        <v>231.0000000000004</v>
      </c>
      <c r="C50" s="168">
        <f t="shared" si="11"/>
        <v>244.20000000000132</v>
      </c>
      <c r="D50" s="167">
        <f t="shared" si="11"/>
        <v>252.44999999999871</v>
      </c>
      <c r="E50" s="168">
        <f t="shared" si="10"/>
        <v>214.4999999999996</v>
      </c>
      <c r="F50" s="167">
        <f t="shared" si="10"/>
        <v>227.6999999999999</v>
      </c>
      <c r="G50" s="168">
        <f t="shared" si="10"/>
        <v>235.95000000000061</v>
      </c>
      <c r="H50" s="167">
        <f t="shared" si="10"/>
        <v>198.0000000000006</v>
      </c>
      <c r="I50" s="168">
        <f t="shared" si="10"/>
        <v>211.20000000000016</v>
      </c>
      <c r="J50" s="167">
        <f t="shared" si="10"/>
        <v>219.45000000000056</v>
      </c>
    </row>
    <row r="51" spans="1:10">
      <c r="A51" s="166">
        <f t="shared" si="9"/>
        <v>0.82777777777777728</v>
      </c>
      <c r="B51" s="167">
        <f t="shared" si="11"/>
        <v>231.77777777777817</v>
      </c>
      <c r="C51" s="168">
        <f t="shared" si="11"/>
        <v>245.02222222222355</v>
      </c>
      <c r="D51" s="167">
        <f t="shared" si="11"/>
        <v>253.2999999999987</v>
      </c>
      <c r="E51" s="168">
        <f t="shared" si="10"/>
        <v>215.22222222222183</v>
      </c>
      <c r="F51" s="167">
        <f t="shared" si="10"/>
        <v>228.46666666666658</v>
      </c>
      <c r="G51" s="168">
        <f t="shared" si="10"/>
        <v>236.74444444444507</v>
      </c>
      <c r="H51" s="167">
        <f t="shared" si="10"/>
        <v>198.66666666666725</v>
      </c>
      <c r="I51" s="168">
        <f t="shared" si="10"/>
        <v>211.91111111111127</v>
      </c>
      <c r="J51" s="167">
        <f t="shared" si="10"/>
        <v>220.18888888888944</v>
      </c>
    </row>
    <row r="52" spans="1:10">
      <c r="A52" s="166">
        <f t="shared" si="9"/>
        <v>0.83055555555555505</v>
      </c>
      <c r="B52" s="167">
        <f t="shared" si="11"/>
        <v>232.55555555555594</v>
      </c>
      <c r="C52" s="168">
        <f t="shared" si="11"/>
        <v>245.84444444444577</v>
      </c>
      <c r="D52" s="167">
        <f t="shared" si="11"/>
        <v>254.1499999999987</v>
      </c>
      <c r="E52" s="168">
        <f t="shared" si="10"/>
        <v>215.94444444444406</v>
      </c>
      <c r="F52" s="167">
        <f t="shared" si="10"/>
        <v>229.23333333333326</v>
      </c>
      <c r="G52" s="168">
        <f t="shared" si="10"/>
        <v>237.53888888888952</v>
      </c>
      <c r="H52" s="167">
        <f t="shared" si="10"/>
        <v>199.33333333333391</v>
      </c>
      <c r="I52" s="168">
        <f t="shared" si="10"/>
        <v>212.62222222222238</v>
      </c>
      <c r="J52" s="167">
        <f t="shared" si="10"/>
        <v>220.92777777777832</v>
      </c>
    </row>
    <row r="53" spans="1:10">
      <c r="A53" s="166">
        <f t="shared" si="9"/>
        <v>0.83333333333333282</v>
      </c>
      <c r="B53" s="167">
        <f t="shared" si="11"/>
        <v>233.33333333333371</v>
      </c>
      <c r="C53" s="168">
        <f t="shared" si="11"/>
        <v>246.66666666666799</v>
      </c>
      <c r="D53" s="167">
        <f t="shared" si="11"/>
        <v>254.99999999999869</v>
      </c>
      <c r="E53" s="168">
        <f t="shared" si="10"/>
        <v>216.66666666666629</v>
      </c>
      <c r="F53" s="167">
        <f t="shared" si="10"/>
        <v>229.99999999999994</v>
      </c>
      <c r="G53" s="168">
        <f t="shared" si="10"/>
        <v>238.33333333333397</v>
      </c>
      <c r="H53" s="167">
        <f t="shared" si="10"/>
        <v>200.00000000000057</v>
      </c>
      <c r="I53" s="168">
        <f t="shared" si="10"/>
        <v>213.33333333333348</v>
      </c>
      <c r="J53" s="167">
        <f t="shared" si="10"/>
        <v>221.6666666666672</v>
      </c>
    </row>
    <row r="54" spans="1:10">
      <c r="A54" s="166">
        <f t="shared" si="9"/>
        <v>0.83611111111111058</v>
      </c>
      <c r="B54" s="167">
        <f t="shared" si="11"/>
        <v>234.11111111111148</v>
      </c>
      <c r="C54" s="168">
        <f t="shared" si="11"/>
        <v>247.48888888889022</v>
      </c>
      <c r="D54" s="167">
        <f t="shared" si="11"/>
        <v>255.84999999999869</v>
      </c>
      <c r="E54" s="168">
        <f t="shared" si="10"/>
        <v>217.38888888888852</v>
      </c>
      <c r="F54" s="167">
        <f t="shared" si="10"/>
        <v>230.76666666666662</v>
      </c>
      <c r="G54" s="168">
        <f t="shared" si="10"/>
        <v>239.12777777777842</v>
      </c>
      <c r="H54" s="167">
        <f t="shared" si="10"/>
        <v>200.66666666666723</v>
      </c>
      <c r="I54" s="168">
        <f t="shared" si="10"/>
        <v>214.04444444444459</v>
      </c>
      <c r="J54" s="167">
        <f t="shared" si="10"/>
        <v>222.40555555555608</v>
      </c>
    </row>
    <row r="55" spans="1:10">
      <c r="A55" s="166">
        <f t="shared" si="9"/>
        <v>0.83888888888888835</v>
      </c>
      <c r="B55" s="167">
        <f t="shared" si="11"/>
        <v>234.88888888888926</v>
      </c>
      <c r="C55" s="168">
        <f t="shared" si="11"/>
        <v>248.31111111111244</v>
      </c>
      <c r="D55" s="167">
        <f t="shared" si="11"/>
        <v>256.69999999999868</v>
      </c>
      <c r="E55" s="168">
        <f t="shared" si="10"/>
        <v>218.11111111111074</v>
      </c>
      <c r="F55" s="167">
        <f t="shared" si="10"/>
        <v>231.5333333333333</v>
      </c>
      <c r="G55" s="168">
        <f t="shared" si="10"/>
        <v>239.92222222222287</v>
      </c>
      <c r="H55" s="167">
        <f t="shared" si="10"/>
        <v>201.33333333333388</v>
      </c>
      <c r="I55" s="168">
        <f t="shared" si="10"/>
        <v>214.7555555555557</v>
      </c>
      <c r="J55" s="167">
        <f t="shared" si="10"/>
        <v>223.14444444444496</v>
      </c>
    </row>
    <row r="56" spans="1:10">
      <c r="A56" s="166">
        <f t="shared" si="9"/>
        <v>0.84166666666666612</v>
      </c>
      <c r="B56" s="167">
        <f t="shared" si="11"/>
        <v>235.66666666666703</v>
      </c>
      <c r="C56" s="168">
        <f t="shared" si="11"/>
        <v>249.13333333333466</v>
      </c>
      <c r="D56" s="167">
        <f t="shared" si="11"/>
        <v>257.5499999999987</v>
      </c>
      <c r="E56" s="168">
        <f t="shared" si="10"/>
        <v>218.83333333333297</v>
      </c>
      <c r="F56" s="167">
        <f t="shared" si="10"/>
        <v>232.29999999999998</v>
      </c>
      <c r="G56" s="168">
        <f t="shared" si="10"/>
        <v>240.71666666666732</v>
      </c>
      <c r="H56" s="167">
        <f t="shared" si="10"/>
        <v>202.00000000000054</v>
      </c>
      <c r="I56" s="168">
        <f t="shared" si="10"/>
        <v>215.46666666666681</v>
      </c>
      <c r="J56" s="167">
        <f t="shared" si="10"/>
        <v>223.88333333333384</v>
      </c>
    </row>
    <row r="57" spans="1:10">
      <c r="A57" s="166">
        <f t="shared" si="9"/>
        <v>0.84444444444444389</v>
      </c>
      <c r="B57" s="167">
        <f t="shared" si="11"/>
        <v>236.4444444444448</v>
      </c>
      <c r="C57" s="168">
        <f t="shared" si="11"/>
        <v>249.95555555555688</v>
      </c>
      <c r="D57" s="167">
        <f t="shared" si="11"/>
        <v>258.39999999999873</v>
      </c>
      <c r="E57" s="168">
        <f t="shared" si="10"/>
        <v>219.5555555555552</v>
      </c>
      <c r="F57" s="167">
        <f t="shared" si="10"/>
        <v>233.06666666666666</v>
      </c>
      <c r="G57" s="168">
        <f t="shared" si="10"/>
        <v>241.51111111111177</v>
      </c>
      <c r="H57" s="167">
        <f t="shared" si="10"/>
        <v>202.6666666666672</v>
      </c>
      <c r="I57" s="168">
        <f t="shared" si="10"/>
        <v>216.17777777777792</v>
      </c>
      <c r="J57" s="167">
        <f t="shared" si="10"/>
        <v>224.62222222222272</v>
      </c>
    </row>
    <row r="58" spans="1:10">
      <c r="A58" s="166">
        <f t="shared" si="9"/>
        <v>0.84722222222222165</v>
      </c>
      <c r="B58" s="167">
        <f t="shared" si="11"/>
        <v>237.22222222222257</v>
      </c>
      <c r="C58" s="168">
        <f t="shared" si="11"/>
        <v>250.77777777777911</v>
      </c>
      <c r="D58" s="167">
        <f t="shared" si="11"/>
        <v>259.24999999999875</v>
      </c>
      <c r="E58" s="168">
        <f t="shared" si="10"/>
        <v>220.27777777777743</v>
      </c>
      <c r="F58" s="167">
        <f t="shared" si="10"/>
        <v>233.83333333333334</v>
      </c>
      <c r="G58" s="168">
        <f t="shared" si="10"/>
        <v>242.30555555555623</v>
      </c>
      <c r="H58" s="167">
        <f t="shared" si="10"/>
        <v>203.33333333333385</v>
      </c>
      <c r="I58" s="168">
        <f t="shared" si="10"/>
        <v>216.88888888888903</v>
      </c>
      <c r="J58" s="167">
        <f t="shared" si="10"/>
        <v>225.3611111111116</v>
      </c>
    </row>
    <row r="59" spans="1:10">
      <c r="A59" s="166">
        <f t="shared" si="9"/>
        <v>0.84999999999999942</v>
      </c>
      <c r="B59" s="167">
        <f t="shared" si="11"/>
        <v>238.00000000000034</v>
      </c>
      <c r="C59" s="168">
        <f t="shared" si="11"/>
        <v>251.60000000000133</v>
      </c>
      <c r="D59" s="167">
        <f t="shared" si="11"/>
        <v>260.09999999999877</v>
      </c>
      <c r="E59" s="168">
        <f t="shared" si="10"/>
        <v>220.99999999999966</v>
      </c>
      <c r="F59" s="167">
        <f t="shared" si="10"/>
        <v>234.60000000000002</v>
      </c>
      <c r="G59" s="168">
        <f t="shared" si="10"/>
        <v>243.10000000000068</v>
      </c>
      <c r="H59" s="167">
        <f t="shared" si="10"/>
        <v>204.00000000000051</v>
      </c>
      <c r="I59" s="168">
        <f t="shared" si="10"/>
        <v>217.60000000000014</v>
      </c>
      <c r="J59" s="167">
        <f t="shared" si="10"/>
        <v>226.10000000000048</v>
      </c>
    </row>
    <row r="60" spans="1:10">
      <c r="A60" s="166">
        <f t="shared" si="9"/>
        <v>0.85277777777777719</v>
      </c>
      <c r="B60" s="167">
        <f t="shared" si="11"/>
        <v>238.77777777777811</v>
      </c>
      <c r="C60" s="168">
        <f t="shared" si="11"/>
        <v>252.42222222222355</v>
      </c>
      <c r="D60" s="167">
        <f t="shared" si="11"/>
        <v>260.94999999999879</v>
      </c>
      <c r="E60" s="168">
        <f t="shared" si="10"/>
        <v>221.72222222222189</v>
      </c>
      <c r="F60" s="167">
        <f t="shared" si="10"/>
        <v>235.3666666666667</v>
      </c>
      <c r="G60" s="168">
        <f t="shared" si="10"/>
        <v>243.89444444444513</v>
      </c>
      <c r="H60" s="167">
        <f t="shared" si="10"/>
        <v>204.66666666666717</v>
      </c>
      <c r="I60" s="168">
        <f t="shared" si="10"/>
        <v>218.31111111111125</v>
      </c>
      <c r="J60" s="167">
        <f t="shared" si="10"/>
        <v>226.83888888888936</v>
      </c>
    </row>
    <row r="61" spans="1:10">
      <c r="A61" s="166">
        <f t="shared" si="9"/>
        <v>0.85555555555555496</v>
      </c>
      <c r="B61" s="167">
        <f t="shared" si="11"/>
        <v>239.55555555555588</v>
      </c>
      <c r="C61" s="168">
        <f t="shared" si="11"/>
        <v>253.24444444444578</v>
      </c>
      <c r="D61" s="167">
        <f t="shared" si="11"/>
        <v>261.79999999999882</v>
      </c>
      <c r="E61" s="168">
        <f t="shared" si="10"/>
        <v>222.44444444444412</v>
      </c>
      <c r="F61" s="167">
        <f t="shared" si="10"/>
        <v>236.13333333333338</v>
      </c>
      <c r="G61" s="168">
        <f t="shared" si="10"/>
        <v>244.68888888888958</v>
      </c>
      <c r="H61" s="167">
        <f t="shared" si="10"/>
        <v>205.33333333333383</v>
      </c>
      <c r="I61" s="168">
        <f t="shared" si="10"/>
        <v>219.02222222222235</v>
      </c>
      <c r="J61" s="167">
        <f t="shared" si="10"/>
        <v>227.57777777777824</v>
      </c>
    </row>
    <row r="62" spans="1:10">
      <c r="A62" s="166">
        <f t="shared" si="9"/>
        <v>0.85833333333333273</v>
      </c>
      <c r="B62" s="167">
        <f t="shared" si="11"/>
        <v>240.33333333333366</v>
      </c>
      <c r="C62" s="168">
        <f t="shared" si="11"/>
        <v>254.066666666668</v>
      </c>
      <c r="D62" s="167">
        <f t="shared" si="11"/>
        <v>262.64999999999884</v>
      </c>
      <c r="E62" s="168">
        <f t="shared" si="10"/>
        <v>223.16666666666634</v>
      </c>
      <c r="F62" s="167">
        <f t="shared" si="10"/>
        <v>236.90000000000006</v>
      </c>
      <c r="G62" s="168">
        <f t="shared" si="10"/>
        <v>245.48333333333403</v>
      </c>
      <c r="H62" s="167">
        <f t="shared" si="10"/>
        <v>206.00000000000048</v>
      </c>
      <c r="I62" s="168">
        <f t="shared" si="10"/>
        <v>219.73333333333346</v>
      </c>
      <c r="J62" s="167">
        <f t="shared" si="10"/>
        <v>228.31666666666712</v>
      </c>
    </row>
    <row r="63" spans="1:10">
      <c r="A63" s="166">
        <f t="shared" si="9"/>
        <v>0.86111111111111049</v>
      </c>
      <c r="B63" s="167">
        <f t="shared" si="11"/>
        <v>241.11111111111143</v>
      </c>
      <c r="C63" s="168">
        <f t="shared" si="11"/>
        <v>254.88888888889022</v>
      </c>
      <c r="D63" s="167">
        <f t="shared" si="11"/>
        <v>263.49999999999886</v>
      </c>
      <c r="E63" s="168">
        <f t="shared" si="10"/>
        <v>223.88888888888857</v>
      </c>
      <c r="F63" s="167">
        <f t="shared" si="10"/>
        <v>237.66666666666674</v>
      </c>
      <c r="G63" s="168">
        <f t="shared" si="10"/>
        <v>246.27777777777848</v>
      </c>
      <c r="H63" s="167">
        <f t="shared" si="10"/>
        <v>206.66666666666714</v>
      </c>
      <c r="I63" s="168">
        <f t="shared" si="10"/>
        <v>220.44444444444457</v>
      </c>
      <c r="J63" s="167">
        <f t="shared" si="10"/>
        <v>229.055555555556</v>
      </c>
    </row>
    <row r="64" spans="1:10">
      <c r="A64" s="166">
        <f t="shared" si="9"/>
        <v>0.86388888888888826</v>
      </c>
      <c r="B64" s="167">
        <f t="shared" si="11"/>
        <v>241.8888888888892</v>
      </c>
      <c r="C64" s="168">
        <f t="shared" si="11"/>
        <v>255.71111111111244</v>
      </c>
      <c r="D64" s="167">
        <f t="shared" si="11"/>
        <v>264.34999999999889</v>
      </c>
      <c r="E64" s="168">
        <f t="shared" si="10"/>
        <v>224.6111111111108</v>
      </c>
      <c r="F64" s="167">
        <f t="shared" si="10"/>
        <v>238.43333333333342</v>
      </c>
      <c r="G64" s="168">
        <f t="shared" si="10"/>
        <v>247.07222222222293</v>
      </c>
      <c r="H64" s="167">
        <f t="shared" si="10"/>
        <v>207.3333333333338</v>
      </c>
      <c r="I64" s="168">
        <f t="shared" si="10"/>
        <v>221.15555555555568</v>
      </c>
      <c r="J64" s="167">
        <f t="shared" si="10"/>
        <v>229.79444444444488</v>
      </c>
    </row>
    <row r="65" spans="1:10">
      <c r="A65" s="166">
        <f t="shared" si="9"/>
        <v>0.86666666666666603</v>
      </c>
      <c r="B65" s="167">
        <f t="shared" si="11"/>
        <v>242.66666666666697</v>
      </c>
      <c r="C65" s="168">
        <f t="shared" si="11"/>
        <v>256.53333333333467</v>
      </c>
      <c r="D65" s="167">
        <f t="shared" si="11"/>
        <v>265.19999999999891</v>
      </c>
      <c r="E65" s="168">
        <f t="shared" si="10"/>
        <v>225.33333333333303</v>
      </c>
      <c r="F65" s="167">
        <f t="shared" si="10"/>
        <v>239.2000000000001</v>
      </c>
      <c r="G65" s="168">
        <f t="shared" si="10"/>
        <v>247.86666666666738</v>
      </c>
      <c r="H65" s="167">
        <f t="shared" si="10"/>
        <v>208.00000000000045</v>
      </c>
      <c r="I65" s="168">
        <f t="shared" si="10"/>
        <v>221.86666666666679</v>
      </c>
      <c r="J65" s="167">
        <f t="shared" si="10"/>
        <v>230.53333333333376</v>
      </c>
    </row>
    <row r="66" spans="1:10">
      <c r="A66" s="166">
        <f t="shared" si="9"/>
        <v>0.8694444444444438</v>
      </c>
      <c r="B66" s="167">
        <f t="shared" si="11"/>
        <v>243.44444444444474</v>
      </c>
      <c r="C66" s="168">
        <f t="shared" si="11"/>
        <v>257.35555555555686</v>
      </c>
      <c r="D66" s="167">
        <f t="shared" si="11"/>
        <v>266.04999999999893</v>
      </c>
      <c r="E66" s="168">
        <f t="shared" si="10"/>
        <v>226.05555555555526</v>
      </c>
      <c r="F66" s="167">
        <f t="shared" si="10"/>
        <v>239.96666666666678</v>
      </c>
      <c r="G66" s="168">
        <f t="shared" si="10"/>
        <v>248.66111111111184</v>
      </c>
      <c r="H66" s="167">
        <f t="shared" si="10"/>
        <v>208.66666666666711</v>
      </c>
      <c r="I66" s="168">
        <f t="shared" si="10"/>
        <v>222.5777777777779</v>
      </c>
      <c r="J66" s="167">
        <f t="shared" si="10"/>
        <v>231.27222222222264</v>
      </c>
    </row>
    <row r="67" spans="1:10">
      <c r="A67" s="166">
        <f t="shared" si="9"/>
        <v>0.87222222222222157</v>
      </c>
      <c r="B67" s="167">
        <f t="shared" si="11"/>
        <v>244.22222222222251</v>
      </c>
      <c r="C67" s="168">
        <f t="shared" si="11"/>
        <v>258.17777777777906</v>
      </c>
      <c r="D67" s="167">
        <f t="shared" si="11"/>
        <v>266.89999999999895</v>
      </c>
      <c r="E67" s="168">
        <f t="shared" si="10"/>
        <v>226.77777777777749</v>
      </c>
      <c r="F67" s="167">
        <f t="shared" si="10"/>
        <v>240.73333333333346</v>
      </c>
      <c r="G67" s="168">
        <f t="shared" si="10"/>
        <v>249.45555555555629</v>
      </c>
      <c r="H67" s="167">
        <f t="shared" si="10"/>
        <v>209.33333333333377</v>
      </c>
      <c r="I67" s="168">
        <f t="shared" si="10"/>
        <v>223.28888888888901</v>
      </c>
      <c r="J67" s="167">
        <f t="shared" si="10"/>
        <v>232.01111111111152</v>
      </c>
    </row>
    <row r="68" spans="1:10">
      <c r="A68" s="166">
        <f t="shared" si="9"/>
        <v>0.87499999999999933</v>
      </c>
      <c r="B68" s="167">
        <f t="shared" si="11"/>
        <v>245.00000000000028</v>
      </c>
      <c r="C68" s="168">
        <f t="shared" si="11"/>
        <v>259.00000000000125</v>
      </c>
      <c r="D68" s="167">
        <f t="shared" si="11"/>
        <v>267.74999999999898</v>
      </c>
      <c r="E68" s="168">
        <f t="shared" si="10"/>
        <v>227.49999999999972</v>
      </c>
      <c r="F68" s="167">
        <f t="shared" si="10"/>
        <v>241.50000000000014</v>
      </c>
      <c r="G68" s="168">
        <f t="shared" si="10"/>
        <v>250.25000000000074</v>
      </c>
      <c r="H68" s="167">
        <f t="shared" si="10"/>
        <v>210.00000000000043</v>
      </c>
      <c r="I68" s="168">
        <f t="shared" si="10"/>
        <v>224.00000000000011</v>
      </c>
      <c r="J68" s="167">
        <f t="shared" si="10"/>
        <v>232.7500000000004</v>
      </c>
    </row>
    <row r="69" spans="1:10">
      <c r="A69" s="166">
        <f t="shared" si="9"/>
        <v>0.8777777777777771</v>
      </c>
      <c r="B69" s="167">
        <f t="shared" si="11"/>
        <v>245.77777777777806</v>
      </c>
      <c r="C69" s="168">
        <f t="shared" si="11"/>
        <v>259.82222222222344</v>
      </c>
      <c r="D69" s="167">
        <f t="shared" si="11"/>
        <v>268.599999999999</v>
      </c>
      <c r="E69" s="168">
        <f t="shared" si="10"/>
        <v>228.22222222222194</v>
      </c>
      <c r="F69" s="167">
        <f t="shared" si="10"/>
        <v>242.26666666666682</v>
      </c>
      <c r="G69" s="168">
        <f t="shared" si="10"/>
        <v>251.04444444444519</v>
      </c>
      <c r="H69" s="167">
        <f t="shared" si="10"/>
        <v>210.66666666666708</v>
      </c>
      <c r="I69" s="168">
        <f t="shared" si="10"/>
        <v>224.71111111111122</v>
      </c>
      <c r="J69" s="167">
        <f t="shared" si="10"/>
        <v>233.48888888888928</v>
      </c>
    </row>
    <row r="70" spans="1:10">
      <c r="A70" s="166">
        <f t="shared" si="9"/>
        <v>0.88055555555555487</v>
      </c>
      <c r="B70" s="167">
        <f t="shared" si="11"/>
        <v>246.55555555555583</v>
      </c>
      <c r="C70" s="168">
        <f t="shared" si="11"/>
        <v>260.64444444444564</v>
      </c>
      <c r="D70" s="167">
        <f t="shared" si="11"/>
        <v>269.44999999999902</v>
      </c>
      <c r="E70" s="168">
        <f t="shared" si="10"/>
        <v>228.94444444444417</v>
      </c>
      <c r="F70" s="167">
        <f t="shared" si="10"/>
        <v>243.0333333333335</v>
      </c>
      <c r="G70" s="168">
        <f t="shared" si="10"/>
        <v>251.83888888888964</v>
      </c>
      <c r="H70" s="167">
        <f t="shared" si="10"/>
        <v>211.33333333333374</v>
      </c>
      <c r="I70" s="168">
        <f t="shared" si="10"/>
        <v>225.42222222222233</v>
      </c>
      <c r="J70" s="167">
        <f t="shared" si="10"/>
        <v>234.22777777777816</v>
      </c>
    </row>
    <row r="71" spans="1:10">
      <c r="A71" s="166">
        <f t="shared" ref="A71:A113" si="12">A70+0.00277777777777777</f>
        <v>0.88333333333333264</v>
      </c>
      <c r="B71" s="167">
        <f t="shared" si="11"/>
        <v>247.3333333333336</v>
      </c>
      <c r="C71" s="168">
        <f t="shared" si="11"/>
        <v>261.46666666666783</v>
      </c>
      <c r="D71" s="167">
        <f t="shared" si="11"/>
        <v>270.29999999999905</v>
      </c>
      <c r="E71" s="168">
        <f t="shared" si="10"/>
        <v>229.6666666666664</v>
      </c>
      <c r="F71" s="167">
        <f t="shared" si="10"/>
        <v>243.80000000000018</v>
      </c>
      <c r="G71" s="168">
        <f t="shared" si="10"/>
        <v>252.63333333333409</v>
      </c>
      <c r="H71" s="167">
        <f t="shared" si="10"/>
        <v>212.0000000000004</v>
      </c>
      <c r="I71" s="168">
        <f t="shared" si="10"/>
        <v>226.13333333333344</v>
      </c>
      <c r="J71" s="167">
        <f t="shared" si="10"/>
        <v>234.96666666666704</v>
      </c>
    </row>
    <row r="72" spans="1:10">
      <c r="A72" s="166">
        <f t="shared" si="12"/>
        <v>0.88611111111111041</v>
      </c>
      <c r="B72" s="167">
        <f t="shared" si="11"/>
        <v>248.11111111111137</v>
      </c>
      <c r="C72" s="168">
        <f t="shared" si="11"/>
        <v>262.28888888889003</v>
      </c>
      <c r="D72" s="167">
        <f t="shared" si="11"/>
        <v>271.14999999999907</v>
      </c>
      <c r="E72" s="168">
        <f t="shared" si="10"/>
        <v>230.38888888888863</v>
      </c>
      <c r="F72" s="167">
        <f t="shared" si="10"/>
        <v>244.56666666666686</v>
      </c>
      <c r="G72" s="168">
        <f t="shared" si="10"/>
        <v>253.42777777777854</v>
      </c>
      <c r="H72" s="167">
        <f t="shared" si="10"/>
        <v>212.66666666666706</v>
      </c>
      <c r="I72" s="168">
        <f t="shared" si="10"/>
        <v>226.84444444444455</v>
      </c>
      <c r="J72" s="167">
        <f t="shared" si="10"/>
        <v>235.70555555555592</v>
      </c>
    </row>
    <row r="73" spans="1:10">
      <c r="A73" s="166">
        <f t="shared" si="12"/>
        <v>0.88888888888888817</v>
      </c>
      <c r="B73" s="167">
        <f t="shared" si="11"/>
        <v>248.88888888888914</v>
      </c>
      <c r="C73" s="168">
        <f t="shared" si="11"/>
        <v>263.11111111111222</v>
      </c>
      <c r="D73" s="167">
        <f t="shared" si="11"/>
        <v>271.99999999999909</v>
      </c>
      <c r="E73" s="168">
        <f t="shared" si="10"/>
        <v>231.11111111111086</v>
      </c>
      <c r="F73" s="167">
        <f t="shared" si="10"/>
        <v>245.33333333333354</v>
      </c>
      <c r="G73" s="168">
        <f t="shared" si="10"/>
        <v>254.222222222223</v>
      </c>
      <c r="H73" s="167">
        <f t="shared" si="10"/>
        <v>213.33333333333371</v>
      </c>
      <c r="I73" s="168">
        <f t="shared" si="10"/>
        <v>227.55555555555566</v>
      </c>
      <c r="J73" s="167">
        <f t="shared" si="10"/>
        <v>236.4444444444448</v>
      </c>
    </row>
    <row r="74" spans="1:10">
      <c r="A74" s="166">
        <f t="shared" si="12"/>
        <v>0.89166666666666594</v>
      </c>
      <c r="B74" s="167">
        <f t="shared" si="11"/>
        <v>249.66666666666691</v>
      </c>
      <c r="C74" s="168">
        <f t="shared" si="11"/>
        <v>263.93333333333442</v>
      </c>
      <c r="D74" s="167">
        <f t="shared" si="11"/>
        <v>272.84999999999911</v>
      </c>
      <c r="E74" s="168">
        <f t="shared" si="10"/>
        <v>231.83333333333309</v>
      </c>
      <c r="F74" s="167">
        <f t="shared" si="10"/>
        <v>246.10000000000022</v>
      </c>
      <c r="G74" s="168">
        <f t="shared" si="10"/>
        <v>255.01666666666745</v>
      </c>
      <c r="H74" s="167">
        <f t="shared" si="10"/>
        <v>214.00000000000037</v>
      </c>
      <c r="I74" s="168">
        <f t="shared" si="10"/>
        <v>228.26666666666677</v>
      </c>
      <c r="J74" s="167">
        <f t="shared" si="10"/>
        <v>237.18333333333368</v>
      </c>
    </row>
    <row r="75" spans="1:10">
      <c r="A75" s="166">
        <f t="shared" si="12"/>
        <v>0.89444444444444371</v>
      </c>
      <c r="B75" s="167">
        <f t="shared" si="11"/>
        <v>250.44444444444468</v>
      </c>
      <c r="C75" s="168">
        <f t="shared" si="11"/>
        <v>264.75555555555661</v>
      </c>
      <c r="D75" s="167">
        <f t="shared" si="11"/>
        <v>273.69999999999914</v>
      </c>
      <c r="E75" s="168">
        <f t="shared" si="10"/>
        <v>232.55555555555532</v>
      </c>
      <c r="F75" s="167">
        <f t="shared" si="10"/>
        <v>246.8666666666669</v>
      </c>
      <c r="G75" s="168">
        <f t="shared" si="10"/>
        <v>255.8111111111119</v>
      </c>
      <c r="H75" s="167">
        <f t="shared" ref="H75:J111" si="13">H76-(H$113*0.2/72)</f>
        <v>214.66666666666703</v>
      </c>
      <c r="I75" s="168">
        <f t="shared" si="13"/>
        <v>228.97777777777787</v>
      </c>
      <c r="J75" s="167">
        <f t="shared" si="13"/>
        <v>237.92222222222256</v>
      </c>
    </row>
    <row r="76" spans="1:10">
      <c r="A76" s="166">
        <f t="shared" si="12"/>
        <v>0.89722222222222148</v>
      </c>
      <c r="B76" s="167">
        <f t="shared" si="11"/>
        <v>251.22222222222246</v>
      </c>
      <c r="C76" s="168">
        <f t="shared" si="11"/>
        <v>265.57777777777881</v>
      </c>
      <c r="D76" s="167">
        <f t="shared" si="11"/>
        <v>274.54999999999916</v>
      </c>
      <c r="E76" s="168">
        <f t="shared" si="11"/>
        <v>233.27777777777754</v>
      </c>
      <c r="F76" s="167">
        <f t="shared" si="11"/>
        <v>247.63333333333358</v>
      </c>
      <c r="G76" s="168">
        <f t="shared" si="11"/>
        <v>256.60555555555635</v>
      </c>
      <c r="H76" s="167">
        <f t="shared" si="13"/>
        <v>215.33333333333368</v>
      </c>
      <c r="I76" s="168">
        <f t="shared" si="13"/>
        <v>229.68888888888898</v>
      </c>
      <c r="J76" s="167">
        <f t="shared" si="13"/>
        <v>238.66111111111144</v>
      </c>
    </row>
    <row r="77" spans="1:10">
      <c r="A77" s="166">
        <f t="shared" si="12"/>
        <v>0.89999999999999925</v>
      </c>
      <c r="B77" s="167">
        <f t="shared" si="11"/>
        <v>252.00000000000023</v>
      </c>
      <c r="C77" s="168">
        <f t="shared" si="11"/>
        <v>266.400000000001</v>
      </c>
      <c r="D77" s="167">
        <f t="shared" si="11"/>
        <v>275.39999999999918</v>
      </c>
      <c r="E77" s="168">
        <f t="shared" si="11"/>
        <v>233.99999999999977</v>
      </c>
      <c r="F77" s="167">
        <f t="shared" si="11"/>
        <v>248.40000000000026</v>
      </c>
      <c r="G77" s="168">
        <f t="shared" si="11"/>
        <v>257.40000000000077</v>
      </c>
      <c r="H77" s="167">
        <f t="shared" si="13"/>
        <v>216.00000000000034</v>
      </c>
      <c r="I77" s="168">
        <f t="shared" si="13"/>
        <v>230.40000000000009</v>
      </c>
      <c r="J77" s="167">
        <f t="shared" si="13"/>
        <v>239.40000000000032</v>
      </c>
    </row>
    <row r="78" spans="1:10">
      <c r="A78" s="166">
        <f t="shared" si="12"/>
        <v>0.90277777777777701</v>
      </c>
      <c r="B78" s="167">
        <f t="shared" si="11"/>
        <v>252.777777777778</v>
      </c>
      <c r="C78" s="168">
        <f t="shared" si="11"/>
        <v>267.22222222222319</v>
      </c>
      <c r="D78" s="167">
        <f t="shared" si="11"/>
        <v>276.2499999999992</v>
      </c>
      <c r="E78" s="168">
        <f t="shared" si="11"/>
        <v>234.722222222222</v>
      </c>
      <c r="F78" s="167">
        <f t="shared" si="11"/>
        <v>249.16666666666694</v>
      </c>
      <c r="G78" s="168">
        <f t="shared" si="11"/>
        <v>258.1944444444452</v>
      </c>
      <c r="H78" s="167">
        <f t="shared" si="13"/>
        <v>216.666666666667</v>
      </c>
      <c r="I78" s="168">
        <f t="shared" si="13"/>
        <v>231.1111111111112</v>
      </c>
      <c r="J78" s="167">
        <f t="shared" si="13"/>
        <v>240.1388888888892</v>
      </c>
    </row>
    <row r="79" spans="1:10">
      <c r="A79" s="166">
        <f t="shared" si="12"/>
        <v>0.90555555555555478</v>
      </c>
      <c r="B79" s="167">
        <f t="shared" si="11"/>
        <v>253.55555555555577</v>
      </c>
      <c r="C79" s="168">
        <f t="shared" si="11"/>
        <v>268.04444444444539</v>
      </c>
      <c r="D79" s="167">
        <f t="shared" si="11"/>
        <v>277.09999999999923</v>
      </c>
      <c r="E79" s="168">
        <f t="shared" si="11"/>
        <v>235.44444444444423</v>
      </c>
      <c r="F79" s="167">
        <f t="shared" si="11"/>
        <v>249.93333333333362</v>
      </c>
      <c r="G79" s="168">
        <f t="shared" si="11"/>
        <v>258.98888888888962</v>
      </c>
      <c r="H79" s="167">
        <f t="shared" si="13"/>
        <v>217.33333333333366</v>
      </c>
      <c r="I79" s="168">
        <f t="shared" si="13"/>
        <v>231.82222222222231</v>
      </c>
      <c r="J79" s="167">
        <f t="shared" si="13"/>
        <v>240.87777777777808</v>
      </c>
    </row>
    <row r="80" spans="1:10">
      <c r="A80" s="166">
        <f t="shared" si="12"/>
        <v>0.90833333333333255</v>
      </c>
      <c r="B80" s="167">
        <f t="shared" si="11"/>
        <v>254.33333333333354</v>
      </c>
      <c r="C80" s="168">
        <f t="shared" si="11"/>
        <v>268.86666666666758</v>
      </c>
      <c r="D80" s="167">
        <f t="shared" si="11"/>
        <v>277.94999999999925</v>
      </c>
      <c r="E80" s="168">
        <f t="shared" si="11"/>
        <v>236.16666666666646</v>
      </c>
      <c r="F80" s="167">
        <f t="shared" si="11"/>
        <v>250.7000000000003</v>
      </c>
      <c r="G80" s="168">
        <f t="shared" si="11"/>
        <v>259.78333333333404</v>
      </c>
      <c r="H80" s="167">
        <f t="shared" si="13"/>
        <v>218.00000000000031</v>
      </c>
      <c r="I80" s="168">
        <f t="shared" si="13"/>
        <v>232.53333333333342</v>
      </c>
      <c r="J80" s="167">
        <f t="shared" si="13"/>
        <v>241.61666666666696</v>
      </c>
    </row>
    <row r="81" spans="1:10">
      <c r="A81" s="166">
        <f t="shared" si="12"/>
        <v>0.91111111111111032</v>
      </c>
      <c r="B81" s="167">
        <f t="shared" si="11"/>
        <v>255.11111111111131</v>
      </c>
      <c r="C81" s="168">
        <f t="shared" si="11"/>
        <v>269.68888888888978</v>
      </c>
      <c r="D81" s="167">
        <f t="shared" si="11"/>
        <v>278.79999999999927</v>
      </c>
      <c r="E81" s="168">
        <f t="shared" si="11"/>
        <v>236.88888888888869</v>
      </c>
      <c r="F81" s="167">
        <f t="shared" si="11"/>
        <v>251.46666666666698</v>
      </c>
      <c r="G81" s="168">
        <f t="shared" si="11"/>
        <v>260.57777777777846</v>
      </c>
      <c r="H81" s="167">
        <f t="shared" si="13"/>
        <v>218.66666666666697</v>
      </c>
      <c r="I81" s="168">
        <f t="shared" si="13"/>
        <v>233.24444444444453</v>
      </c>
      <c r="J81" s="167">
        <f t="shared" si="13"/>
        <v>242.35555555555584</v>
      </c>
    </row>
    <row r="82" spans="1:10">
      <c r="A82" s="166">
        <f t="shared" si="12"/>
        <v>0.91388888888888808</v>
      </c>
      <c r="B82" s="167">
        <f t="shared" si="11"/>
        <v>255.88888888888908</v>
      </c>
      <c r="C82" s="168">
        <f t="shared" si="11"/>
        <v>270.51111111111197</v>
      </c>
      <c r="D82" s="167">
        <f t="shared" si="11"/>
        <v>279.6499999999993</v>
      </c>
      <c r="E82" s="168">
        <f t="shared" si="11"/>
        <v>237.61111111111092</v>
      </c>
      <c r="F82" s="167">
        <f t="shared" si="11"/>
        <v>252.23333333333366</v>
      </c>
      <c r="G82" s="168">
        <f t="shared" si="11"/>
        <v>261.37222222222289</v>
      </c>
      <c r="H82" s="167">
        <f t="shared" si="13"/>
        <v>219.33333333333363</v>
      </c>
      <c r="I82" s="168">
        <f t="shared" si="13"/>
        <v>233.95555555555563</v>
      </c>
      <c r="J82" s="167">
        <f t="shared" si="13"/>
        <v>243.09444444444472</v>
      </c>
    </row>
    <row r="83" spans="1:10">
      <c r="A83" s="166">
        <f t="shared" si="12"/>
        <v>0.91666666666666585</v>
      </c>
      <c r="B83" s="167">
        <f t="shared" si="11"/>
        <v>256.66666666666686</v>
      </c>
      <c r="C83" s="168">
        <f t="shared" si="11"/>
        <v>271.33333333333417</v>
      </c>
      <c r="D83" s="167">
        <f t="shared" si="11"/>
        <v>280.49999999999932</v>
      </c>
      <c r="E83" s="168">
        <f t="shared" si="11"/>
        <v>238.33333333333314</v>
      </c>
      <c r="F83" s="167">
        <f t="shared" si="11"/>
        <v>253.00000000000034</v>
      </c>
      <c r="G83" s="168">
        <f t="shared" si="11"/>
        <v>262.16666666666731</v>
      </c>
      <c r="H83" s="167">
        <f t="shared" si="13"/>
        <v>220.00000000000028</v>
      </c>
      <c r="I83" s="168">
        <f t="shared" si="13"/>
        <v>234.66666666666674</v>
      </c>
      <c r="J83" s="167">
        <f t="shared" si="13"/>
        <v>243.8333333333336</v>
      </c>
    </row>
    <row r="84" spans="1:10">
      <c r="A84" s="166">
        <f t="shared" si="12"/>
        <v>0.91944444444444362</v>
      </c>
      <c r="B84" s="167">
        <f t="shared" si="11"/>
        <v>257.44444444444463</v>
      </c>
      <c r="C84" s="168">
        <f t="shared" si="11"/>
        <v>272.15555555555636</v>
      </c>
      <c r="D84" s="167">
        <f t="shared" si="11"/>
        <v>281.34999999999934</v>
      </c>
      <c r="E84" s="168">
        <f t="shared" si="11"/>
        <v>239.05555555555537</v>
      </c>
      <c r="F84" s="167">
        <f t="shared" si="11"/>
        <v>253.76666666666702</v>
      </c>
      <c r="G84" s="168">
        <f t="shared" si="11"/>
        <v>262.96111111111173</v>
      </c>
      <c r="H84" s="167">
        <f t="shared" si="13"/>
        <v>220.66666666666694</v>
      </c>
      <c r="I84" s="168">
        <f t="shared" si="13"/>
        <v>235.37777777777785</v>
      </c>
      <c r="J84" s="167">
        <f t="shared" si="13"/>
        <v>244.57222222222248</v>
      </c>
    </row>
    <row r="85" spans="1:10">
      <c r="A85" s="166">
        <f t="shared" si="12"/>
        <v>0.92222222222222139</v>
      </c>
      <c r="B85" s="167">
        <f t="shared" si="11"/>
        <v>258.2222222222224</v>
      </c>
      <c r="C85" s="168">
        <f t="shared" si="11"/>
        <v>272.97777777777856</v>
      </c>
      <c r="D85" s="167">
        <f t="shared" si="11"/>
        <v>282.19999999999936</v>
      </c>
      <c r="E85" s="168">
        <f t="shared" si="11"/>
        <v>239.7777777777776</v>
      </c>
      <c r="F85" s="167">
        <f t="shared" si="11"/>
        <v>254.5333333333337</v>
      </c>
      <c r="G85" s="168">
        <f t="shared" si="11"/>
        <v>263.75555555555616</v>
      </c>
      <c r="H85" s="167">
        <f t="shared" si="13"/>
        <v>221.3333333333336</v>
      </c>
      <c r="I85" s="168">
        <f t="shared" si="13"/>
        <v>236.08888888888896</v>
      </c>
      <c r="J85" s="167">
        <f t="shared" si="13"/>
        <v>245.31111111111136</v>
      </c>
    </row>
    <row r="86" spans="1:10">
      <c r="A86" s="166">
        <f t="shared" si="12"/>
        <v>0.92499999999999916</v>
      </c>
      <c r="B86" s="167">
        <f t="shared" si="11"/>
        <v>259.00000000000017</v>
      </c>
      <c r="C86" s="168">
        <f t="shared" si="11"/>
        <v>273.80000000000075</v>
      </c>
      <c r="D86" s="167">
        <f t="shared" si="11"/>
        <v>283.04999999999939</v>
      </c>
      <c r="E86" s="168">
        <f t="shared" si="11"/>
        <v>240.49999999999983</v>
      </c>
      <c r="F86" s="167">
        <f t="shared" si="11"/>
        <v>255.30000000000038</v>
      </c>
      <c r="G86" s="168">
        <f t="shared" si="11"/>
        <v>264.55000000000058</v>
      </c>
      <c r="H86" s="167">
        <f t="shared" si="13"/>
        <v>222.00000000000026</v>
      </c>
      <c r="I86" s="168">
        <f t="shared" si="13"/>
        <v>236.80000000000007</v>
      </c>
      <c r="J86" s="167">
        <f t="shared" si="13"/>
        <v>246.05000000000024</v>
      </c>
    </row>
    <row r="87" spans="1:10">
      <c r="A87" s="166">
        <f t="shared" si="12"/>
        <v>0.92777777777777692</v>
      </c>
      <c r="B87" s="167">
        <f t="shared" si="11"/>
        <v>259.77777777777794</v>
      </c>
      <c r="C87" s="168">
        <f t="shared" si="11"/>
        <v>274.62222222222294</v>
      </c>
      <c r="D87" s="167">
        <f t="shared" si="11"/>
        <v>283.89999999999941</v>
      </c>
      <c r="E87" s="168">
        <f t="shared" si="11"/>
        <v>241.22222222222206</v>
      </c>
      <c r="F87" s="167">
        <f t="shared" si="11"/>
        <v>256.06666666666706</v>
      </c>
      <c r="G87" s="168">
        <f t="shared" si="11"/>
        <v>265.344444444445</v>
      </c>
      <c r="H87" s="167">
        <f t="shared" si="13"/>
        <v>222.66666666666691</v>
      </c>
      <c r="I87" s="168">
        <f t="shared" si="13"/>
        <v>237.51111111111118</v>
      </c>
      <c r="J87" s="167">
        <f t="shared" si="13"/>
        <v>246.78888888888912</v>
      </c>
    </row>
    <row r="88" spans="1:10">
      <c r="A88" s="166">
        <f t="shared" si="12"/>
        <v>0.93055555555555469</v>
      </c>
      <c r="B88" s="167">
        <f t="shared" si="11"/>
        <v>260.55555555555571</v>
      </c>
      <c r="C88" s="168">
        <f t="shared" si="11"/>
        <v>275.44444444444514</v>
      </c>
      <c r="D88" s="167">
        <f t="shared" si="11"/>
        <v>284.74999999999943</v>
      </c>
      <c r="E88" s="168">
        <f t="shared" si="11"/>
        <v>241.94444444444429</v>
      </c>
      <c r="F88" s="167">
        <f t="shared" si="11"/>
        <v>256.83333333333371</v>
      </c>
      <c r="G88" s="168">
        <f t="shared" si="11"/>
        <v>266.13888888888943</v>
      </c>
      <c r="H88" s="167">
        <f t="shared" si="13"/>
        <v>223.33333333333357</v>
      </c>
      <c r="I88" s="168">
        <f t="shared" si="13"/>
        <v>238.22222222222229</v>
      </c>
      <c r="J88" s="167">
        <f t="shared" si="13"/>
        <v>247.527777777778</v>
      </c>
    </row>
    <row r="89" spans="1:10">
      <c r="A89" s="166">
        <f t="shared" si="12"/>
        <v>0.93333333333333246</v>
      </c>
      <c r="B89" s="167">
        <f t="shared" si="11"/>
        <v>261.33333333333348</v>
      </c>
      <c r="C89" s="168">
        <f t="shared" si="11"/>
        <v>276.26666666666733</v>
      </c>
      <c r="D89" s="167">
        <f t="shared" si="11"/>
        <v>285.59999999999945</v>
      </c>
      <c r="E89" s="168">
        <f t="shared" si="11"/>
        <v>242.66666666666652</v>
      </c>
      <c r="F89" s="167">
        <f t="shared" si="11"/>
        <v>257.60000000000036</v>
      </c>
      <c r="G89" s="168">
        <f t="shared" si="11"/>
        <v>266.93333333333385</v>
      </c>
      <c r="H89" s="167">
        <f t="shared" si="13"/>
        <v>224.00000000000023</v>
      </c>
      <c r="I89" s="168">
        <f t="shared" si="13"/>
        <v>238.93333333333339</v>
      </c>
      <c r="J89" s="167">
        <f t="shared" si="13"/>
        <v>248.26666666666688</v>
      </c>
    </row>
    <row r="90" spans="1:10">
      <c r="A90" s="166">
        <f t="shared" si="12"/>
        <v>0.93611111111111023</v>
      </c>
      <c r="B90" s="167">
        <f t="shared" si="11"/>
        <v>262.11111111111126</v>
      </c>
      <c r="C90" s="168">
        <f t="shared" si="11"/>
        <v>277.08888888888953</v>
      </c>
      <c r="D90" s="167">
        <f t="shared" si="11"/>
        <v>286.44999999999948</v>
      </c>
      <c r="E90" s="168">
        <f t="shared" si="11"/>
        <v>243.38888888888874</v>
      </c>
      <c r="F90" s="167">
        <f t="shared" si="11"/>
        <v>258.36666666666702</v>
      </c>
      <c r="G90" s="168">
        <f t="shared" si="11"/>
        <v>267.72777777777827</v>
      </c>
      <c r="H90" s="167">
        <f t="shared" si="13"/>
        <v>224.66666666666688</v>
      </c>
      <c r="I90" s="168">
        <f t="shared" si="13"/>
        <v>239.6444444444445</v>
      </c>
      <c r="J90" s="167">
        <f t="shared" si="13"/>
        <v>249.00555555555576</v>
      </c>
    </row>
    <row r="91" spans="1:10">
      <c r="A91" s="166">
        <f t="shared" si="12"/>
        <v>0.938888888888888</v>
      </c>
      <c r="B91" s="167">
        <f t="shared" si="11"/>
        <v>262.88888888888903</v>
      </c>
      <c r="C91" s="168">
        <f t="shared" si="11"/>
        <v>277.91111111111172</v>
      </c>
      <c r="D91" s="167">
        <f t="shared" si="11"/>
        <v>287.2999999999995</v>
      </c>
      <c r="E91" s="168">
        <f t="shared" si="11"/>
        <v>244.11111111111097</v>
      </c>
      <c r="F91" s="167">
        <f t="shared" si="11"/>
        <v>259.13333333333367</v>
      </c>
      <c r="G91" s="168">
        <f t="shared" si="11"/>
        <v>268.52222222222269</v>
      </c>
      <c r="H91" s="167">
        <f t="shared" si="13"/>
        <v>225.33333333333354</v>
      </c>
      <c r="I91" s="168">
        <f t="shared" si="13"/>
        <v>240.35555555555561</v>
      </c>
      <c r="J91" s="167">
        <f t="shared" si="13"/>
        <v>249.74444444444464</v>
      </c>
    </row>
    <row r="92" spans="1:10">
      <c r="A92" s="166">
        <f t="shared" si="12"/>
        <v>0.94166666666666576</v>
      </c>
      <c r="B92" s="167">
        <f t="shared" si="11"/>
        <v>263.6666666666668</v>
      </c>
      <c r="C92" s="168">
        <f t="shared" si="11"/>
        <v>278.73333333333392</v>
      </c>
      <c r="D92" s="167">
        <f t="shared" si="11"/>
        <v>288.14999999999952</v>
      </c>
      <c r="E92" s="168">
        <f t="shared" si="11"/>
        <v>244.8333333333332</v>
      </c>
      <c r="F92" s="167">
        <f t="shared" si="11"/>
        <v>259.90000000000032</v>
      </c>
      <c r="G92" s="168">
        <f t="shared" si="11"/>
        <v>269.31666666666712</v>
      </c>
      <c r="H92" s="167">
        <f t="shared" si="13"/>
        <v>226.0000000000002</v>
      </c>
      <c r="I92" s="168">
        <f t="shared" si="13"/>
        <v>241.06666666666672</v>
      </c>
      <c r="J92" s="167">
        <f t="shared" si="13"/>
        <v>250.48333333333352</v>
      </c>
    </row>
    <row r="93" spans="1:10">
      <c r="A93" s="166">
        <f t="shared" si="12"/>
        <v>0.94444444444444353</v>
      </c>
      <c r="B93" s="167">
        <f t="shared" si="11"/>
        <v>264.44444444444457</v>
      </c>
      <c r="C93" s="168">
        <f t="shared" si="11"/>
        <v>279.55555555555611</v>
      </c>
      <c r="D93" s="167">
        <f t="shared" si="11"/>
        <v>288.99999999999955</v>
      </c>
      <c r="E93" s="168">
        <f t="shared" si="11"/>
        <v>245.55555555555543</v>
      </c>
      <c r="F93" s="167">
        <f t="shared" si="11"/>
        <v>260.66666666666697</v>
      </c>
      <c r="G93" s="168">
        <f t="shared" si="11"/>
        <v>270.11111111111154</v>
      </c>
      <c r="H93" s="167">
        <f t="shared" si="13"/>
        <v>226.66666666666686</v>
      </c>
      <c r="I93" s="168">
        <f t="shared" si="13"/>
        <v>241.77777777777783</v>
      </c>
      <c r="J93" s="167">
        <f t="shared" si="13"/>
        <v>251.2222222222224</v>
      </c>
    </row>
    <row r="94" spans="1:10">
      <c r="A94" s="166">
        <f t="shared" si="12"/>
        <v>0.9472222222222213</v>
      </c>
      <c r="B94" s="167">
        <f t="shared" si="11"/>
        <v>265.22222222222234</v>
      </c>
      <c r="C94" s="168">
        <f t="shared" si="11"/>
        <v>280.37777777777831</v>
      </c>
      <c r="D94" s="167">
        <f t="shared" si="11"/>
        <v>289.84999999999957</v>
      </c>
      <c r="E94" s="168">
        <f t="shared" si="11"/>
        <v>246.27777777777766</v>
      </c>
      <c r="F94" s="167">
        <f t="shared" si="11"/>
        <v>261.43333333333362</v>
      </c>
      <c r="G94" s="168">
        <f t="shared" si="11"/>
        <v>270.90555555555596</v>
      </c>
      <c r="H94" s="167">
        <f t="shared" si="13"/>
        <v>227.33333333333351</v>
      </c>
      <c r="I94" s="168">
        <f t="shared" si="13"/>
        <v>242.48888888888894</v>
      </c>
      <c r="J94" s="167">
        <f t="shared" si="13"/>
        <v>251.96111111111128</v>
      </c>
    </row>
    <row r="95" spans="1:10">
      <c r="A95" s="166">
        <f t="shared" si="12"/>
        <v>0.94999999999999907</v>
      </c>
      <c r="B95" s="167">
        <f t="shared" si="11"/>
        <v>266.00000000000011</v>
      </c>
      <c r="C95" s="168">
        <f t="shared" si="11"/>
        <v>281.2000000000005</v>
      </c>
      <c r="D95" s="167">
        <f t="shared" si="11"/>
        <v>290.69999999999959</v>
      </c>
      <c r="E95" s="168">
        <f t="shared" si="11"/>
        <v>246.99999999999989</v>
      </c>
      <c r="F95" s="167">
        <f t="shared" si="11"/>
        <v>262.20000000000027</v>
      </c>
      <c r="G95" s="168">
        <f t="shared" si="11"/>
        <v>271.70000000000039</v>
      </c>
      <c r="H95" s="167">
        <f t="shared" si="13"/>
        <v>228.00000000000017</v>
      </c>
      <c r="I95" s="168">
        <f t="shared" si="13"/>
        <v>243.20000000000005</v>
      </c>
      <c r="J95" s="167">
        <f t="shared" si="13"/>
        <v>252.70000000000016</v>
      </c>
    </row>
    <row r="96" spans="1:10">
      <c r="A96" s="166">
        <f t="shared" si="12"/>
        <v>0.95277777777777684</v>
      </c>
      <c r="B96" s="167">
        <f t="shared" si="11"/>
        <v>266.77777777777789</v>
      </c>
      <c r="C96" s="168">
        <f t="shared" si="11"/>
        <v>282.02222222222269</v>
      </c>
      <c r="D96" s="167">
        <f t="shared" si="11"/>
        <v>291.54999999999961</v>
      </c>
      <c r="E96" s="168">
        <f t="shared" si="11"/>
        <v>247.72222222222211</v>
      </c>
      <c r="F96" s="167">
        <f t="shared" si="11"/>
        <v>262.96666666666692</v>
      </c>
      <c r="G96" s="168">
        <f t="shared" si="11"/>
        <v>272.49444444444481</v>
      </c>
      <c r="H96" s="167">
        <f t="shared" si="13"/>
        <v>228.66666666666683</v>
      </c>
      <c r="I96" s="168">
        <f t="shared" si="13"/>
        <v>243.91111111111115</v>
      </c>
      <c r="J96" s="167">
        <f t="shared" si="13"/>
        <v>253.43888888888904</v>
      </c>
    </row>
    <row r="97" spans="1:10">
      <c r="A97" s="166">
        <f t="shared" si="12"/>
        <v>0.9555555555555546</v>
      </c>
      <c r="B97" s="167">
        <f t="shared" si="11"/>
        <v>267.55555555555566</v>
      </c>
      <c r="C97" s="168">
        <f t="shared" si="11"/>
        <v>282.84444444444489</v>
      </c>
      <c r="D97" s="167">
        <f t="shared" si="11"/>
        <v>292.39999999999964</v>
      </c>
      <c r="E97" s="168">
        <f t="shared" ref="E97:E112" si="14">E98-(E$113*0.2/72)</f>
        <v>248.44444444444434</v>
      </c>
      <c r="F97" s="167">
        <f t="shared" ref="F97:F112" si="15">F98-(F$113*0.2/72)</f>
        <v>263.73333333333358</v>
      </c>
      <c r="G97" s="168">
        <f t="shared" ref="G97:G112" si="16">G98-(G$113*0.2/72)</f>
        <v>273.28888888888923</v>
      </c>
      <c r="H97" s="167">
        <f t="shared" si="13"/>
        <v>229.33333333333348</v>
      </c>
      <c r="I97" s="168">
        <f t="shared" si="13"/>
        <v>244.62222222222226</v>
      </c>
      <c r="J97" s="167">
        <f t="shared" si="13"/>
        <v>254.17777777777792</v>
      </c>
    </row>
    <row r="98" spans="1:10">
      <c r="A98" s="166">
        <f t="shared" si="12"/>
        <v>0.95833333333333237</v>
      </c>
      <c r="B98" s="167">
        <f t="shared" ref="B98:B112" si="17">B99-(B$113*0.2/72)</f>
        <v>268.33333333333343</v>
      </c>
      <c r="C98" s="168">
        <f t="shared" ref="C98:C112" si="18">C99-(C$113*0.2/72)</f>
        <v>283.66666666666708</v>
      </c>
      <c r="D98" s="167">
        <f t="shared" ref="D98:D112" si="19">D99-(D$113*0.2/72)</f>
        <v>293.24999999999966</v>
      </c>
      <c r="E98" s="168">
        <f t="shared" si="14"/>
        <v>249.16666666666657</v>
      </c>
      <c r="F98" s="167">
        <f t="shared" si="15"/>
        <v>264.50000000000023</v>
      </c>
      <c r="G98" s="168">
        <f t="shared" si="16"/>
        <v>274.08333333333366</v>
      </c>
      <c r="H98" s="167">
        <f t="shared" si="13"/>
        <v>230.00000000000014</v>
      </c>
      <c r="I98" s="168">
        <f t="shared" si="13"/>
        <v>245.33333333333337</v>
      </c>
      <c r="J98" s="167">
        <f t="shared" si="13"/>
        <v>254.9166666666668</v>
      </c>
    </row>
    <row r="99" spans="1:10">
      <c r="A99" s="166">
        <f t="shared" si="12"/>
        <v>0.96111111111111014</v>
      </c>
      <c r="B99" s="167">
        <f t="shared" si="17"/>
        <v>269.1111111111112</v>
      </c>
      <c r="C99" s="168">
        <f t="shared" si="18"/>
        <v>284.48888888888928</v>
      </c>
      <c r="D99" s="167">
        <f t="shared" si="19"/>
        <v>294.09999999999968</v>
      </c>
      <c r="E99" s="168">
        <f t="shared" si="14"/>
        <v>249.8888888888888</v>
      </c>
      <c r="F99" s="167">
        <f t="shared" si="15"/>
        <v>265.26666666666688</v>
      </c>
      <c r="G99" s="168">
        <f t="shared" si="16"/>
        <v>274.87777777777808</v>
      </c>
      <c r="H99" s="167">
        <f t="shared" si="13"/>
        <v>230.6666666666668</v>
      </c>
      <c r="I99" s="168">
        <f t="shared" si="13"/>
        <v>246.04444444444448</v>
      </c>
      <c r="J99" s="167">
        <f t="shared" si="13"/>
        <v>255.65555555555568</v>
      </c>
    </row>
    <row r="100" spans="1:10">
      <c r="A100" s="166">
        <f t="shared" si="12"/>
        <v>0.96388888888888791</v>
      </c>
      <c r="B100" s="167">
        <f t="shared" si="17"/>
        <v>269.88888888888897</v>
      </c>
      <c r="C100" s="168">
        <f t="shared" si="18"/>
        <v>285.31111111111147</v>
      </c>
      <c r="D100" s="167">
        <f t="shared" si="19"/>
        <v>294.9499999999997</v>
      </c>
      <c r="E100" s="168">
        <f t="shared" si="14"/>
        <v>250.61111111111103</v>
      </c>
      <c r="F100" s="167">
        <f t="shared" si="15"/>
        <v>266.03333333333353</v>
      </c>
      <c r="G100" s="168">
        <f t="shared" si="16"/>
        <v>275.6722222222225</v>
      </c>
      <c r="H100" s="167">
        <f t="shared" si="13"/>
        <v>231.33333333333346</v>
      </c>
      <c r="I100" s="168">
        <f t="shared" si="13"/>
        <v>246.75555555555559</v>
      </c>
      <c r="J100" s="167">
        <f t="shared" si="13"/>
        <v>256.39444444444456</v>
      </c>
    </row>
    <row r="101" spans="1:10">
      <c r="A101" s="166">
        <f t="shared" si="12"/>
        <v>0.96666666666666567</v>
      </c>
      <c r="B101" s="167">
        <f t="shared" si="17"/>
        <v>270.66666666666674</v>
      </c>
      <c r="C101" s="168">
        <f t="shared" si="18"/>
        <v>286.13333333333367</v>
      </c>
      <c r="D101" s="167">
        <f t="shared" si="19"/>
        <v>295.79999999999973</v>
      </c>
      <c r="E101" s="168">
        <f t="shared" si="14"/>
        <v>251.33333333333326</v>
      </c>
      <c r="F101" s="167">
        <f t="shared" si="15"/>
        <v>266.80000000000018</v>
      </c>
      <c r="G101" s="168">
        <f t="shared" si="16"/>
        <v>276.46666666666692</v>
      </c>
      <c r="H101" s="167">
        <f t="shared" si="13"/>
        <v>232.00000000000011</v>
      </c>
      <c r="I101" s="168">
        <f t="shared" si="13"/>
        <v>247.4666666666667</v>
      </c>
      <c r="J101" s="167">
        <f t="shared" si="13"/>
        <v>257.13333333333344</v>
      </c>
    </row>
    <row r="102" spans="1:10">
      <c r="A102" s="166">
        <f t="shared" si="12"/>
        <v>0.96944444444444344</v>
      </c>
      <c r="B102" s="167">
        <f t="shared" si="17"/>
        <v>271.44444444444451</v>
      </c>
      <c r="C102" s="168">
        <f t="shared" si="18"/>
        <v>286.95555555555586</v>
      </c>
      <c r="D102" s="167">
        <f t="shared" si="19"/>
        <v>296.64999999999975</v>
      </c>
      <c r="E102" s="168">
        <f t="shared" si="14"/>
        <v>252.05555555555549</v>
      </c>
      <c r="F102" s="167">
        <f t="shared" si="15"/>
        <v>267.56666666666683</v>
      </c>
      <c r="G102" s="168">
        <f t="shared" si="16"/>
        <v>277.26111111111135</v>
      </c>
      <c r="H102" s="167">
        <f t="shared" si="13"/>
        <v>232.66666666666677</v>
      </c>
      <c r="I102" s="168">
        <f t="shared" si="13"/>
        <v>248.17777777777781</v>
      </c>
      <c r="J102" s="167">
        <f t="shared" si="13"/>
        <v>257.87222222222232</v>
      </c>
    </row>
    <row r="103" spans="1:10">
      <c r="A103" s="166">
        <f t="shared" si="12"/>
        <v>0.97222222222222121</v>
      </c>
      <c r="B103" s="167">
        <f t="shared" si="17"/>
        <v>272.22222222222229</v>
      </c>
      <c r="C103" s="168">
        <f t="shared" si="18"/>
        <v>287.77777777777806</v>
      </c>
      <c r="D103" s="167">
        <f t="shared" si="19"/>
        <v>297.49999999999977</v>
      </c>
      <c r="E103" s="168">
        <f t="shared" si="14"/>
        <v>252.77777777777771</v>
      </c>
      <c r="F103" s="167">
        <f t="shared" si="15"/>
        <v>268.33333333333348</v>
      </c>
      <c r="G103" s="168">
        <f t="shared" si="16"/>
        <v>278.05555555555577</v>
      </c>
      <c r="H103" s="167">
        <f t="shared" si="13"/>
        <v>233.33333333333343</v>
      </c>
      <c r="I103" s="168">
        <f t="shared" si="13"/>
        <v>248.88888888888891</v>
      </c>
      <c r="J103" s="167">
        <f t="shared" si="13"/>
        <v>258.6111111111112</v>
      </c>
    </row>
    <row r="104" spans="1:10">
      <c r="A104" s="166">
        <f t="shared" si="12"/>
        <v>0.97499999999999898</v>
      </c>
      <c r="B104" s="167">
        <f t="shared" si="17"/>
        <v>273.00000000000006</v>
      </c>
      <c r="C104" s="168">
        <f t="shared" si="18"/>
        <v>288.60000000000025</v>
      </c>
      <c r="D104" s="167">
        <f t="shared" si="19"/>
        <v>298.3499999999998</v>
      </c>
      <c r="E104" s="168">
        <f t="shared" si="14"/>
        <v>253.49999999999994</v>
      </c>
      <c r="F104" s="167">
        <f t="shared" si="15"/>
        <v>269.10000000000014</v>
      </c>
      <c r="G104" s="168">
        <f t="shared" si="16"/>
        <v>278.85000000000019</v>
      </c>
      <c r="H104" s="167">
        <f t="shared" si="13"/>
        <v>234.00000000000009</v>
      </c>
      <c r="I104" s="168">
        <f t="shared" si="13"/>
        <v>249.60000000000002</v>
      </c>
      <c r="J104" s="167">
        <f t="shared" si="13"/>
        <v>259.35000000000008</v>
      </c>
    </row>
    <row r="105" spans="1:10">
      <c r="A105" s="166">
        <f t="shared" si="12"/>
        <v>0.97777777777777675</v>
      </c>
      <c r="B105" s="167">
        <f t="shared" si="17"/>
        <v>273.77777777777783</v>
      </c>
      <c r="C105" s="168">
        <f t="shared" si="18"/>
        <v>289.42222222222244</v>
      </c>
      <c r="D105" s="167">
        <f t="shared" si="19"/>
        <v>299.19999999999982</v>
      </c>
      <c r="E105" s="168">
        <f t="shared" si="14"/>
        <v>254.22222222222217</v>
      </c>
      <c r="F105" s="167">
        <f t="shared" si="15"/>
        <v>269.86666666666679</v>
      </c>
      <c r="G105" s="168">
        <f t="shared" si="16"/>
        <v>279.64444444444462</v>
      </c>
      <c r="H105" s="167">
        <f t="shared" si="13"/>
        <v>234.66666666666674</v>
      </c>
      <c r="I105" s="168">
        <f t="shared" si="13"/>
        <v>250.31111111111113</v>
      </c>
      <c r="J105" s="167">
        <f t="shared" si="13"/>
        <v>260.08888888888896</v>
      </c>
    </row>
    <row r="106" spans="1:10">
      <c r="A106" s="166">
        <f t="shared" si="12"/>
        <v>0.98055555555555451</v>
      </c>
      <c r="B106" s="167">
        <f t="shared" si="17"/>
        <v>274.5555555555556</v>
      </c>
      <c r="C106" s="168">
        <f t="shared" si="18"/>
        <v>290.24444444444464</v>
      </c>
      <c r="D106" s="167">
        <f t="shared" si="19"/>
        <v>300.04999999999984</v>
      </c>
      <c r="E106" s="168">
        <f t="shared" si="14"/>
        <v>254.9444444444444</v>
      </c>
      <c r="F106" s="167">
        <f t="shared" si="15"/>
        <v>270.63333333333344</v>
      </c>
      <c r="G106" s="168">
        <f t="shared" si="16"/>
        <v>280.43888888888904</v>
      </c>
      <c r="H106" s="167">
        <f t="shared" si="13"/>
        <v>235.3333333333334</v>
      </c>
      <c r="I106" s="168">
        <f t="shared" si="13"/>
        <v>251.02222222222224</v>
      </c>
      <c r="J106" s="167">
        <f t="shared" si="13"/>
        <v>260.82777777777784</v>
      </c>
    </row>
    <row r="107" spans="1:10">
      <c r="A107" s="166">
        <f t="shared" si="12"/>
        <v>0.98333333333333228</v>
      </c>
      <c r="B107" s="167">
        <f t="shared" si="17"/>
        <v>275.33333333333337</v>
      </c>
      <c r="C107" s="168">
        <f t="shared" si="18"/>
        <v>291.06666666666683</v>
      </c>
      <c r="D107" s="167">
        <f t="shared" si="19"/>
        <v>300.89999999999986</v>
      </c>
      <c r="E107" s="168">
        <f t="shared" si="14"/>
        <v>255.66666666666663</v>
      </c>
      <c r="F107" s="167">
        <f t="shared" si="15"/>
        <v>271.40000000000009</v>
      </c>
      <c r="G107" s="168">
        <f t="shared" si="16"/>
        <v>281.23333333333346</v>
      </c>
      <c r="H107" s="167">
        <f t="shared" si="13"/>
        <v>236.00000000000006</v>
      </c>
      <c r="I107" s="168">
        <f t="shared" si="13"/>
        <v>251.73333333333335</v>
      </c>
      <c r="J107" s="167">
        <f t="shared" si="13"/>
        <v>261.56666666666672</v>
      </c>
    </row>
    <row r="108" spans="1:10">
      <c r="A108" s="166">
        <f t="shared" si="12"/>
        <v>0.98611111111111005</v>
      </c>
      <c r="B108" s="167">
        <f t="shared" si="17"/>
        <v>276.11111111111114</v>
      </c>
      <c r="C108" s="168">
        <f t="shared" si="18"/>
        <v>291.88888888888903</v>
      </c>
      <c r="D108" s="167">
        <f t="shared" si="19"/>
        <v>301.74999999999989</v>
      </c>
      <c r="E108" s="168">
        <f t="shared" si="14"/>
        <v>256.38888888888886</v>
      </c>
      <c r="F108" s="167">
        <f t="shared" si="15"/>
        <v>272.16666666666674</v>
      </c>
      <c r="G108" s="168">
        <f t="shared" si="16"/>
        <v>282.02777777777789</v>
      </c>
      <c r="H108" s="167">
        <f t="shared" si="13"/>
        <v>236.66666666666671</v>
      </c>
      <c r="I108" s="168">
        <f t="shared" si="13"/>
        <v>252.44444444444446</v>
      </c>
      <c r="J108" s="167">
        <f t="shared" si="13"/>
        <v>262.3055555555556</v>
      </c>
    </row>
    <row r="109" spans="1:10">
      <c r="A109" s="166">
        <f t="shared" si="12"/>
        <v>0.98888888888888782</v>
      </c>
      <c r="B109" s="167">
        <f t="shared" si="17"/>
        <v>276.88888888888891</v>
      </c>
      <c r="C109" s="168">
        <f t="shared" si="18"/>
        <v>292.71111111111122</v>
      </c>
      <c r="D109" s="167">
        <f t="shared" si="19"/>
        <v>302.59999999999991</v>
      </c>
      <c r="E109" s="168">
        <f t="shared" si="14"/>
        <v>257.11111111111109</v>
      </c>
      <c r="F109" s="167">
        <f t="shared" si="15"/>
        <v>272.93333333333339</v>
      </c>
      <c r="G109" s="168">
        <f t="shared" si="16"/>
        <v>282.82222222222231</v>
      </c>
      <c r="H109" s="167">
        <f t="shared" si="13"/>
        <v>237.33333333333337</v>
      </c>
      <c r="I109" s="168">
        <f t="shared" si="13"/>
        <v>253.15555555555557</v>
      </c>
      <c r="J109" s="167">
        <f t="shared" si="13"/>
        <v>263.04444444444448</v>
      </c>
    </row>
    <row r="110" spans="1:10">
      <c r="A110" s="166">
        <f t="shared" si="12"/>
        <v>0.99166666666666559</v>
      </c>
      <c r="B110" s="167">
        <f t="shared" si="17"/>
        <v>277.66666666666669</v>
      </c>
      <c r="C110" s="168">
        <f t="shared" si="18"/>
        <v>293.53333333333342</v>
      </c>
      <c r="D110" s="167">
        <f t="shared" si="19"/>
        <v>303.44999999999993</v>
      </c>
      <c r="E110" s="168">
        <f t="shared" si="14"/>
        <v>257.83333333333331</v>
      </c>
      <c r="F110" s="167">
        <f t="shared" si="15"/>
        <v>273.70000000000005</v>
      </c>
      <c r="G110" s="168">
        <f t="shared" si="16"/>
        <v>283.61666666666673</v>
      </c>
      <c r="H110" s="167">
        <f t="shared" si="13"/>
        <v>238.00000000000003</v>
      </c>
      <c r="I110" s="168">
        <f t="shared" si="13"/>
        <v>253.86666666666667</v>
      </c>
      <c r="J110" s="167">
        <f t="shared" si="13"/>
        <v>263.78333333333336</v>
      </c>
    </row>
    <row r="111" spans="1:10">
      <c r="A111" s="166">
        <f t="shared" si="12"/>
        <v>0.99444444444444335</v>
      </c>
      <c r="B111" s="167">
        <f t="shared" si="17"/>
        <v>278.44444444444446</v>
      </c>
      <c r="C111" s="168">
        <f t="shared" si="18"/>
        <v>294.35555555555561</v>
      </c>
      <c r="D111" s="167">
        <f t="shared" si="19"/>
        <v>304.29999999999995</v>
      </c>
      <c r="E111" s="168">
        <f t="shared" si="14"/>
        <v>258.55555555555554</v>
      </c>
      <c r="F111" s="167">
        <f t="shared" si="15"/>
        <v>274.4666666666667</v>
      </c>
      <c r="G111" s="168">
        <f t="shared" si="16"/>
        <v>284.41111111111115</v>
      </c>
      <c r="H111" s="167">
        <f t="shared" si="13"/>
        <v>238.66666666666669</v>
      </c>
      <c r="I111" s="168">
        <f t="shared" si="13"/>
        <v>254.57777777777778</v>
      </c>
      <c r="J111" s="167">
        <f t="shared" si="13"/>
        <v>264.52222222222224</v>
      </c>
    </row>
    <row r="112" spans="1:10">
      <c r="A112" s="166">
        <f t="shared" si="12"/>
        <v>0.99722222222222112</v>
      </c>
      <c r="B112" s="167">
        <f t="shared" si="17"/>
        <v>279.22222222222223</v>
      </c>
      <c r="C112" s="168">
        <f t="shared" si="18"/>
        <v>295.17777777777781</v>
      </c>
      <c r="D112" s="167">
        <f t="shared" si="19"/>
        <v>305.14999999999998</v>
      </c>
      <c r="E112" s="168">
        <f t="shared" si="14"/>
        <v>259.27777777777777</v>
      </c>
      <c r="F112" s="167">
        <f t="shared" si="15"/>
        <v>275.23333333333335</v>
      </c>
      <c r="G112" s="168">
        <f t="shared" si="16"/>
        <v>285.20555555555558</v>
      </c>
      <c r="H112" s="167">
        <f>H113-(H$113*0.2/72)</f>
        <v>239.33333333333334</v>
      </c>
      <c r="I112" s="168">
        <f>I113-(I$113*0.2/72)</f>
        <v>255.28888888888889</v>
      </c>
      <c r="J112" s="167">
        <f>J113-(J$113*0.2/72)</f>
        <v>265.26111111111112</v>
      </c>
    </row>
    <row r="113" spans="1:10">
      <c r="A113" s="166">
        <f t="shared" si="12"/>
        <v>0.99999999999999889</v>
      </c>
      <c r="B113" s="169">
        <f>A2</f>
        <v>280</v>
      </c>
      <c r="C113" s="170">
        <f>A2+10+B2</f>
        <v>296</v>
      </c>
      <c r="D113" s="169">
        <f>A2+20+B2</f>
        <v>306</v>
      </c>
      <c r="E113" s="170">
        <f t="shared" ref="E113:J113" si="20">B113-20</f>
        <v>260</v>
      </c>
      <c r="F113" s="169">
        <f t="shared" si="20"/>
        <v>276</v>
      </c>
      <c r="G113" s="170">
        <f t="shared" si="20"/>
        <v>286</v>
      </c>
      <c r="H113" s="169">
        <f t="shared" si="20"/>
        <v>240</v>
      </c>
      <c r="I113" s="170">
        <f t="shared" si="20"/>
        <v>256</v>
      </c>
      <c r="J113" s="169">
        <f t="shared" si="20"/>
        <v>266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82"/>
  <sheetViews>
    <sheetView showGridLines="0" showRowColHeaders="0" tabSelected="1" topLeftCell="B1" zoomScale="75" zoomScaleNormal="75" workbookViewId="0">
      <selection activeCell="D20" sqref="D20"/>
    </sheetView>
  </sheetViews>
  <sheetFormatPr defaultRowHeight="12.75" customHeight="1"/>
  <cols>
    <col min="1" max="1" width="13.7109375" style="514" customWidth="1"/>
    <col min="2" max="2" width="9.140625" style="514" customWidth="1"/>
    <col min="3" max="4" width="7.7109375" style="514" customWidth="1"/>
    <col min="5" max="5" width="13.7109375" style="536" customWidth="1"/>
    <col min="6" max="7" width="9.140625" style="514" customWidth="1"/>
    <col min="8" max="8" width="7.7109375" style="514" customWidth="1"/>
    <col min="9" max="9" width="12.85546875" style="536" customWidth="1"/>
    <col min="10" max="11" width="9.140625" style="514" customWidth="1"/>
    <col min="12" max="12" width="7.7109375" style="514" customWidth="1"/>
    <col min="13" max="13" width="13.7109375" style="514" customWidth="1"/>
    <col min="14" max="15" width="9.140625" style="514" customWidth="1"/>
    <col min="16" max="16" width="7.7109375" style="514" customWidth="1"/>
    <col min="17" max="17" width="12.85546875" style="514" customWidth="1"/>
    <col min="18" max="19" width="9.140625" style="514" customWidth="1"/>
    <col min="20" max="20" width="9" style="514" customWidth="1"/>
    <col min="21" max="21" width="11.85546875" style="514" customWidth="1"/>
    <col min="22" max="22" width="9" style="514" customWidth="1"/>
    <col min="23" max="23" width="9.140625" style="514" customWidth="1"/>
    <col min="24" max="16384" width="9.140625" style="514"/>
  </cols>
  <sheetData>
    <row r="1" spans="1:20" ht="15.75" customHeight="1" thickBot="1">
      <c r="A1" s="551" t="s">
        <v>164</v>
      </c>
      <c r="B1" s="567">
        <v>131.55000000000001</v>
      </c>
      <c r="C1" s="1056"/>
      <c r="E1" s="539" t="s">
        <v>436</v>
      </c>
      <c r="F1" s="540" t="s">
        <v>43</v>
      </c>
      <c r="G1" s="540" t="s">
        <v>44</v>
      </c>
      <c r="I1" s="548" t="s">
        <v>415</v>
      </c>
      <c r="J1" s="549" t="s">
        <v>43</v>
      </c>
      <c r="K1" s="549" t="s">
        <v>44</v>
      </c>
      <c r="M1" s="544" t="s">
        <v>448</v>
      </c>
      <c r="N1" s="545" t="s">
        <v>43</v>
      </c>
      <c r="O1" s="545" t="s">
        <v>44</v>
      </c>
      <c r="Q1" s="546" t="s">
        <v>416</v>
      </c>
      <c r="R1" s="547" t="s">
        <v>43</v>
      </c>
      <c r="S1" s="547" t="s">
        <v>44</v>
      </c>
    </row>
    <row r="2" spans="1:20" ht="15.75" customHeight="1" thickBot="1">
      <c r="A2" s="551" t="s">
        <v>0</v>
      </c>
      <c r="B2" s="568">
        <v>0.86</v>
      </c>
      <c r="C2" s="1056"/>
      <c r="E2" s="565" t="s">
        <v>172</v>
      </c>
      <c r="F2" s="566">
        <f>CC!G15/0.2165</f>
        <v>6.4490856729695949</v>
      </c>
      <c r="G2" s="566">
        <f>CC!G16/0.2165</f>
        <v>6.4901557373367176</v>
      </c>
      <c r="I2" s="565" t="s">
        <v>172</v>
      </c>
      <c r="J2" s="566">
        <f>CC!G33/0.2165</f>
        <v>4.4764270974667593</v>
      </c>
      <c r="K2" s="566">
        <f>CC!G34/0.2165</f>
        <v>4.4969862694422922</v>
      </c>
      <c r="M2" s="533" t="s">
        <v>172</v>
      </c>
      <c r="N2" s="515">
        <f>CC!G52/0.2165</f>
        <v>8.5158712420619356</v>
      </c>
      <c r="O2" s="515">
        <f>CC!G53/0.2165</f>
        <v>8.5872210738762647</v>
      </c>
      <c r="Q2" s="533" t="s">
        <v>172</v>
      </c>
      <c r="R2" s="515">
        <f>CC!G142/0.2165</f>
        <v>1.7044587600831402</v>
      </c>
      <c r="S2" s="515">
        <f>CC!G143/0.2165</f>
        <v>1.7044587600831402</v>
      </c>
    </row>
    <row r="3" spans="1:20" ht="15.75" customHeight="1" thickBot="1">
      <c r="A3" s="551" t="s">
        <v>1</v>
      </c>
      <c r="B3" s="567">
        <v>4</v>
      </c>
      <c r="C3" s="1056"/>
      <c r="E3" s="535" t="s">
        <v>427</v>
      </c>
      <c r="F3" s="521">
        <f>FLOOR(F2,8.868360277)/8.868360277</f>
        <v>0</v>
      </c>
      <c r="G3" s="521">
        <f>FLOOR(G2,8.868360277)/8.868360277</f>
        <v>0</v>
      </c>
      <c r="I3" s="535" t="s">
        <v>427</v>
      </c>
      <c r="J3" s="521">
        <f>FLOOR(J2,8.868360277)/8.868360277</f>
        <v>0</v>
      </c>
      <c r="K3" s="521">
        <f>FLOOR(K2,8.868360277)/8.868360277</f>
        <v>0</v>
      </c>
      <c r="M3" s="535" t="s">
        <v>427</v>
      </c>
      <c r="N3" s="521">
        <f>FLOOR(N2,8.868360277)/8.868360277</f>
        <v>0</v>
      </c>
      <c r="O3" s="521">
        <f>FLOOR(O2,8.868360277)/8.868360277</f>
        <v>0</v>
      </c>
      <c r="Q3" s="535" t="s">
        <v>427</v>
      </c>
      <c r="R3" s="521">
        <f>FLOOR(R2,8.868360277)/8.868360277</f>
        <v>0</v>
      </c>
      <c r="S3" s="521">
        <f>FLOOR(S2,8.868360277)/8.868360277</f>
        <v>0</v>
      </c>
    </row>
    <row r="4" spans="1:20" ht="15.75" customHeight="1" thickBot="1">
      <c r="A4" s="551" t="s">
        <v>2</v>
      </c>
      <c r="B4" s="569">
        <v>72</v>
      </c>
      <c r="C4" s="1056"/>
      <c r="D4" s="1056"/>
      <c r="E4" s="535" t="s">
        <v>450</v>
      </c>
      <c r="F4" s="522">
        <f>MOD(F2,(1.92/0.2165))</f>
        <v>6.4490856729695949</v>
      </c>
      <c r="G4" s="522">
        <f>MOD(G2,(1.92/0.2165))</f>
        <v>6.4901557373367176</v>
      </c>
      <c r="I4" s="535" t="s">
        <v>450</v>
      </c>
      <c r="J4" s="522">
        <f>MOD(J2,(1.92/0.2165))</f>
        <v>4.4764270974667593</v>
      </c>
      <c r="K4" s="522">
        <f>MOD(K2,(1.92/0.2165))</f>
        <v>4.4969862694422922</v>
      </c>
      <c r="M4" s="535" t="s">
        <v>450</v>
      </c>
      <c r="N4" s="522">
        <f>MOD(N2,(1.92/0.2165))</f>
        <v>8.5158712420619356</v>
      </c>
      <c r="O4" s="522">
        <f>MOD(O2,(1.92/0.2165))</f>
        <v>8.5872210738762647</v>
      </c>
      <c r="Q4" s="535" t="s">
        <v>450</v>
      </c>
      <c r="R4" s="522">
        <f>MOD(R2,(1.92/0.2165))</f>
        <v>1.7044587600831402</v>
      </c>
      <c r="S4" s="522">
        <f>MOD(S2,(1.92/0.2165))</f>
        <v>1.7044587600831402</v>
      </c>
    </row>
    <row r="5" spans="1:20" ht="15.75" customHeight="1" thickBot="1">
      <c r="A5" s="551" t="s">
        <v>168</v>
      </c>
      <c r="B5" s="567">
        <v>0</v>
      </c>
      <c r="C5" s="1056"/>
      <c r="D5" s="1056"/>
      <c r="E5" s="585" t="s">
        <v>135</v>
      </c>
      <c r="F5" s="581">
        <f>CC!F15</f>
        <v>48.828702852883907</v>
      </c>
      <c r="G5" s="581">
        <f>CC!F16</f>
        <v>49.138456338397077</v>
      </c>
      <c r="I5" s="585" t="s">
        <v>135</v>
      </c>
      <c r="J5" s="581">
        <f>CC!F33</f>
        <v>62.352802902759237</v>
      </c>
      <c r="K5" s="581">
        <f>CC!F34</f>
        <v>62.628235113970774</v>
      </c>
      <c r="M5" s="558" t="s">
        <v>135</v>
      </c>
      <c r="N5" s="577">
        <f>CC!F52</f>
        <v>59.996452108255426</v>
      </c>
      <c r="O5" s="577">
        <f>CC!F53</f>
        <v>60.391670214961209</v>
      </c>
      <c r="Q5" s="558" t="s">
        <v>135</v>
      </c>
      <c r="R5" s="577">
        <f>CC!F142</f>
        <v>31.785865797016257</v>
      </c>
      <c r="S5" s="577">
        <f>CC!F143</f>
        <v>31.883022300844075</v>
      </c>
    </row>
    <row r="6" spans="1:20" ht="15.75" customHeight="1" thickBot="1">
      <c r="A6" s="551" t="s">
        <v>166</v>
      </c>
      <c r="B6" s="567">
        <v>0</v>
      </c>
      <c r="C6" s="1056"/>
      <c r="D6" s="1056"/>
      <c r="E6" s="534" t="s">
        <v>46</v>
      </c>
      <c r="F6" s="516" t="e">
        <f>CC!E15</f>
        <v>#VALUE!</v>
      </c>
      <c r="G6" s="516" t="e">
        <f>CC!E16</f>
        <v>#VALUE!</v>
      </c>
      <c r="I6" s="534" t="s">
        <v>46</v>
      </c>
      <c r="J6" s="516">
        <f>CC!E33</f>
        <v>175.00000000000085</v>
      </c>
      <c r="K6" s="516">
        <f>CC!E34</f>
        <v>175.77777777777862</v>
      </c>
      <c r="M6" s="534" t="s">
        <v>46</v>
      </c>
      <c r="N6" s="516" t="e">
        <f>CC!E52</f>
        <v>#VALUE!</v>
      </c>
      <c r="O6" s="516" t="e">
        <f>CC!E53</f>
        <v>#VALUE!</v>
      </c>
      <c r="Q6" s="534" t="s">
        <v>46</v>
      </c>
      <c r="R6" s="516" t="e">
        <f>CC!E142</f>
        <v>#VALUE!</v>
      </c>
      <c r="S6" s="516" t="e">
        <f>CC!E143</f>
        <v>#VALUE!</v>
      </c>
    </row>
    <row r="7" spans="1:20" ht="15.75" customHeight="1" thickBot="1">
      <c r="A7" s="552" t="s">
        <v>170</v>
      </c>
      <c r="B7" s="570">
        <v>1</v>
      </c>
      <c r="C7" s="1056"/>
      <c r="D7" s="1056"/>
      <c r="I7" s="559" t="s">
        <v>4</v>
      </c>
      <c r="J7" s="583">
        <f>CC!H33</f>
        <v>8</v>
      </c>
      <c r="K7" s="583">
        <f>CC!H34</f>
        <v>8</v>
      </c>
      <c r="M7" s="559" t="s">
        <v>4</v>
      </c>
      <c r="N7" s="509">
        <f>CC!H52</f>
        <v>9</v>
      </c>
      <c r="O7" s="584">
        <f>CC!H53</f>
        <v>8</v>
      </c>
      <c r="Q7" s="536"/>
    </row>
    <row r="8" spans="1:20" ht="15.75" customHeight="1" thickBot="1">
      <c r="A8" s="518"/>
      <c r="B8" s="518" t="s">
        <v>262</v>
      </c>
      <c r="C8" s="1056"/>
      <c r="D8" s="1056"/>
      <c r="E8" s="1060" t="s">
        <v>437</v>
      </c>
      <c r="F8" s="1058" t="s">
        <v>43</v>
      </c>
      <c r="G8" s="540" t="s">
        <v>44</v>
      </c>
      <c r="J8" s="514">
        <v>212.8</v>
      </c>
      <c r="M8" s="536"/>
      <c r="Q8" s="546" t="s">
        <v>417</v>
      </c>
      <c r="R8" s="547" t="s">
        <v>43</v>
      </c>
      <c r="S8" s="547" t="s">
        <v>44</v>
      </c>
    </row>
    <row r="9" spans="1:20" ht="15.75" customHeight="1" thickBot="1">
      <c r="A9" s="551" t="s">
        <v>164</v>
      </c>
      <c r="B9" s="875">
        <f>B1</f>
        <v>131.55000000000001</v>
      </c>
      <c r="C9" s="1056"/>
      <c r="D9" s="1056"/>
      <c r="E9" s="1061" t="s">
        <v>172</v>
      </c>
      <c r="F9" s="1059">
        <f>CC!G70/0.2165</f>
        <v>7.7719953327730629</v>
      </c>
      <c r="G9" s="566">
        <f>CC!G71/0.2165</f>
        <v>7.8339045528129754</v>
      </c>
      <c r="I9" s="548" t="s">
        <v>441</v>
      </c>
      <c r="J9" s="549" t="s">
        <v>43</v>
      </c>
      <c r="K9" s="549" t="s">
        <v>44</v>
      </c>
      <c r="M9" s="544" t="s">
        <v>449</v>
      </c>
      <c r="N9" s="545" t="s">
        <v>43</v>
      </c>
      <c r="O9" s="545" t="s">
        <v>44</v>
      </c>
      <c r="Q9" s="533" t="s">
        <v>172</v>
      </c>
      <c r="R9" s="515">
        <f>CC!G160/0.2165</f>
        <v>4.0487729367696232</v>
      </c>
      <c r="S9" s="515">
        <f>CC!G161/0.2165</f>
        <v>4.0487729367696232</v>
      </c>
    </row>
    <row r="10" spans="1:20" ht="15.75" customHeight="1" thickBot="1">
      <c r="A10" s="551" t="s">
        <v>418</v>
      </c>
      <c r="B10" s="568">
        <v>93</v>
      </c>
      <c r="C10" s="1056"/>
      <c r="D10" s="1056"/>
      <c r="E10" s="535" t="s">
        <v>427</v>
      </c>
      <c r="F10" s="1055">
        <f>FLOOR(F9,8.868360277)/8.868360277</f>
        <v>0</v>
      </c>
      <c r="G10" s="521">
        <f>FLOOR(G9,8.868360277)/8.868360277</f>
        <v>0</v>
      </c>
      <c r="I10" s="533" t="s">
        <v>172</v>
      </c>
      <c r="J10" s="515">
        <f>CC!G88/0.2165</f>
        <v>5.6398982505689261</v>
      </c>
      <c r="K10" s="515">
        <f>CC!G89/0.2165</f>
        <v>5.6725339914367368</v>
      </c>
      <c r="M10" s="533" t="s">
        <v>172</v>
      </c>
      <c r="N10" s="515">
        <f>(CC!G269+B6)/0.2165</f>
        <v>14.79006492468864</v>
      </c>
      <c r="O10" s="515">
        <f>(CC!G270+B6)/0.2165</f>
        <v>15.009363460471976</v>
      </c>
      <c r="Q10" s="535" t="s">
        <v>427</v>
      </c>
      <c r="R10" s="521">
        <f>FLOOR(R9,8.868360277)/8.868360277</f>
        <v>0</v>
      </c>
      <c r="S10" s="521">
        <f>FLOOR(S9,8.868360277)/8.868360277</f>
        <v>0</v>
      </c>
      <c r="T10" s="519"/>
    </row>
    <row r="11" spans="1:20" ht="15.75" customHeight="1" thickBot="1">
      <c r="A11" s="551" t="s">
        <v>419</v>
      </c>
      <c r="B11" s="567">
        <v>0</v>
      </c>
      <c r="C11" s="1056"/>
      <c r="D11" s="1056"/>
      <c r="E11" s="535" t="s">
        <v>450</v>
      </c>
      <c r="F11" s="522">
        <f>MOD(F9,(1.92/0.2165))</f>
        <v>7.7719953327730629</v>
      </c>
      <c r="G11" s="522">
        <f>MOD(G9,(1.92/0.2165))</f>
        <v>7.8339045528129754</v>
      </c>
      <c r="I11" s="535" t="s">
        <v>427</v>
      </c>
      <c r="J11" s="521">
        <f>FLOOR(J10,8.868360277)/8.868360277</f>
        <v>0</v>
      </c>
      <c r="K11" s="521">
        <f>FLOOR(K10,8.868360277)/8.868360277</f>
        <v>0</v>
      </c>
      <c r="M11" s="535" t="s">
        <v>427</v>
      </c>
      <c r="N11" s="521">
        <f>FLOOR(N10,8.868360277)/8.868360277</f>
        <v>1</v>
      </c>
      <c r="O11" s="521">
        <f>FLOOR(O10,8.868360277)/8.868360277</f>
        <v>1</v>
      </c>
      <c r="Q11" s="535" t="s">
        <v>450</v>
      </c>
      <c r="R11" s="522">
        <f>MOD(R9,(1.92/0.2165))</f>
        <v>4.0487729367696232</v>
      </c>
      <c r="S11" s="522">
        <f>MOD(S9,(1.92/0.2165))</f>
        <v>4.0487729367696232</v>
      </c>
    </row>
    <row r="12" spans="1:20" ht="15.75" customHeight="1" thickBot="1">
      <c r="A12" s="551" t="s">
        <v>271</v>
      </c>
      <c r="B12" s="567">
        <f>B9-B10-B11</f>
        <v>38.550000000000011</v>
      </c>
      <c r="C12" s="1056"/>
      <c r="D12" s="1056"/>
      <c r="E12" s="585" t="s">
        <v>135</v>
      </c>
      <c r="F12" s="581">
        <f>CC!F70</f>
        <v>48.056889074162953</v>
      </c>
      <c r="G12" s="581">
        <f>CC!F71</f>
        <v>48.471443468806413</v>
      </c>
      <c r="I12" s="535" t="s">
        <v>450</v>
      </c>
      <c r="J12" s="522">
        <f>MOD(J10,(1.92/0.2165))</f>
        <v>5.6398982505689261</v>
      </c>
      <c r="K12" s="522">
        <f>MOD(K10,(1.92/0.2165))</f>
        <v>5.6725339914367368</v>
      </c>
      <c r="M12" s="535" t="s">
        <v>450</v>
      </c>
      <c r="N12" s="522">
        <f>MOD(N10,(1.92/0.2165))</f>
        <v>5.9217046475523816</v>
      </c>
      <c r="O12" s="522">
        <f>MOD(O10,(1.92/0.2165))</f>
        <v>6.1410031833357177</v>
      </c>
      <c r="Q12" s="558" t="s">
        <v>135</v>
      </c>
      <c r="R12" s="577">
        <f>CC!F160</f>
        <v>29.991916444315329</v>
      </c>
      <c r="S12" s="577">
        <f>CC!F161</f>
        <v>30.213943551309633</v>
      </c>
    </row>
    <row r="13" spans="1:20" ht="15.75" customHeight="1" thickBot="1">
      <c r="A13" s="551" t="s">
        <v>269</v>
      </c>
      <c r="B13" s="569">
        <f>B10/B9*100</f>
        <v>70.695553021664765</v>
      </c>
      <c r="C13" s="1056"/>
      <c r="D13" s="1056"/>
      <c r="E13" s="534" t="s">
        <v>46</v>
      </c>
      <c r="F13" s="516" t="e">
        <f>CC!E70</f>
        <v>#VALUE!</v>
      </c>
      <c r="G13" s="516" t="e">
        <f>CC!E71</f>
        <v>#VALUE!</v>
      </c>
      <c r="I13" s="558" t="s">
        <v>135</v>
      </c>
      <c r="J13" s="577">
        <f>CC!F88</f>
        <v>66.242624410628565</v>
      </c>
      <c r="K13" s="577">
        <f>CC!F89</f>
        <v>66.542106837021237</v>
      </c>
      <c r="M13" s="558" t="s">
        <v>135</v>
      </c>
      <c r="N13" s="577">
        <f>CC!F269</f>
        <v>60.226262118809927</v>
      </c>
      <c r="O13" s="577">
        <f>CC!F270</f>
        <v>61.016393540600916</v>
      </c>
      <c r="Q13" s="534" t="s">
        <v>46</v>
      </c>
      <c r="R13" s="516" t="e">
        <f>CC!E160</f>
        <v>#VALUE!</v>
      </c>
      <c r="S13" s="516" t="e">
        <f>CC!E161</f>
        <v>#VALUE!</v>
      </c>
    </row>
    <row r="14" spans="1:20" ht="15.75" customHeight="1" thickBot="1">
      <c r="A14" s="551" t="s">
        <v>270</v>
      </c>
      <c r="B14" s="567">
        <f>B11/B9*100</f>
        <v>0</v>
      </c>
      <c r="C14" s="1056"/>
      <c r="D14" s="1056"/>
      <c r="I14" s="534" t="s">
        <v>46</v>
      </c>
      <c r="J14" s="516" t="e">
        <f>CC!E88</f>
        <v>#VALUE!</v>
      </c>
      <c r="K14" s="516" t="e">
        <f>CC!E89</f>
        <v>#VALUE!</v>
      </c>
      <c r="M14" s="534" t="s">
        <v>46</v>
      </c>
      <c r="N14" s="516" t="e">
        <f>CC!E269</f>
        <v>#VALUE!</v>
      </c>
      <c r="O14" s="516" t="e">
        <f>CC!E270</f>
        <v>#VALUE!</v>
      </c>
    </row>
    <row r="15" spans="1:20" ht="15.75" customHeight="1" thickBot="1">
      <c r="A15" s="551" t="s">
        <v>420</v>
      </c>
      <c r="B15" s="571">
        <f>100-B13-B14</f>
        <v>29.304446978335235</v>
      </c>
      <c r="C15" s="1056"/>
      <c r="D15" s="1056"/>
      <c r="E15" s="539" t="s">
        <v>438</v>
      </c>
      <c r="F15" s="540" t="s">
        <v>43</v>
      </c>
      <c r="G15" s="540" t="s">
        <v>44</v>
      </c>
      <c r="I15" s="559" t="s">
        <v>4</v>
      </c>
      <c r="J15" s="583">
        <f>CC!H88</f>
        <v>8</v>
      </c>
      <c r="K15" s="583">
        <f>CC!H89</f>
        <v>8</v>
      </c>
      <c r="M15" s="559" t="s">
        <v>4</v>
      </c>
      <c r="N15" s="509">
        <f>CC!H269</f>
        <v>9</v>
      </c>
      <c r="O15" s="584">
        <f>CC!H270</f>
        <v>8</v>
      </c>
    </row>
    <row r="16" spans="1:20" ht="15.75" customHeight="1" thickBot="1">
      <c r="C16" s="1056"/>
      <c r="D16" s="1056"/>
      <c r="E16" s="565" t="s">
        <v>172</v>
      </c>
      <c r="F16" s="566">
        <f>CC!G124/0.2165</f>
        <v>6.2597981021986318</v>
      </c>
      <c r="G16" s="566">
        <f>CC!G125/0.2165</f>
        <v>6.29988029934667</v>
      </c>
    </row>
    <row r="17" spans="1:20" ht="15.75" customHeight="1" thickBot="1">
      <c r="A17" s="553" t="s">
        <v>424</v>
      </c>
      <c r="B17" s="572">
        <v>1</v>
      </c>
      <c r="C17" s="1056"/>
      <c r="D17" s="1056"/>
      <c r="E17" s="535" t="s">
        <v>427</v>
      </c>
      <c r="F17" s="521">
        <f>FLOOR(F16,8.868360277)/8.868360277</f>
        <v>0</v>
      </c>
      <c r="G17" s="521">
        <f>FLOOR(G16,8.868360277)/8.868360277</f>
        <v>0</v>
      </c>
      <c r="I17" s="548" t="s">
        <v>442</v>
      </c>
      <c r="J17" s="549" t="s">
        <v>43</v>
      </c>
      <c r="K17" s="549" t="s">
        <v>44</v>
      </c>
      <c r="M17" s="550" t="s">
        <v>16</v>
      </c>
      <c r="N17" s="550" t="s">
        <v>268</v>
      </c>
      <c r="O17" s="550" t="s">
        <v>420</v>
      </c>
      <c r="P17" s="550" t="s">
        <v>267</v>
      </c>
      <c r="Q17" s="525"/>
      <c r="R17" s="512"/>
      <c r="S17" s="530"/>
    </row>
    <row r="18" spans="1:20" ht="15.75" customHeight="1" thickBot="1">
      <c r="A18" s="554" t="s">
        <v>190</v>
      </c>
      <c r="B18" s="573">
        <f>B17/0.2165</f>
        <v>4.6189376443418011</v>
      </c>
      <c r="C18" s="1056"/>
      <c r="D18" s="1056"/>
      <c r="E18" s="535" t="s">
        <v>450</v>
      </c>
      <c r="F18" s="522">
        <f>MOD(F16,(1.92/0.2165))</f>
        <v>6.2597981021986318</v>
      </c>
      <c r="G18" s="522">
        <f>MOD(G16,(1.92/0.2165))</f>
        <v>6.29988029934667</v>
      </c>
      <c r="I18" s="533" t="s">
        <v>172</v>
      </c>
      <c r="J18" s="515">
        <f>CC!G106/0.2165</f>
        <v>7.6897644083311514</v>
      </c>
      <c r="K18" s="515">
        <f>CC!G107/0.2165</f>
        <v>7.7394744543225897</v>
      </c>
      <c r="M18" s="535" t="s">
        <v>421</v>
      </c>
      <c r="N18" s="522">
        <v>5.74</v>
      </c>
      <c r="O18" s="522">
        <v>2.79</v>
      </c>
      <c r="P18" s="522">
        <v>0</v>
      </c>
      <c r="Q18" s="579"/>
      <c r="R18" s="1054" t="s">
        <v>172</v>
      </c>
      <c r="S18" s="907"/>
      <c r="T18" s="512"/>
    </row>
    <row r="19" spans="1:20" ht="15.75" customHeight="1" thickBot="1">
      <c r="A19" s="551" t="s">
        <v>405</v>
      </c>
      <c r="B19" s="574">
        <f>PB!B2</f>
        <v>1.1547344110854503</v>
      </c>
      <c r="C19" s="1056"/>
      <c r="D19" s="1056"/>
      <c r="E19" s="585" t="s">
        <v>135</v>
      </c>
      <c r="F19" s="581">
        <f>CC!F124</f>
        <v>51.080299022860402</v>
      </c>
      <c r="G19" s="581">
        <f>CC!F125</f>
        <v>51.430809126966878</v>
      </c>
      <c r="I19" s="535" t="s">
        <v>427</v>
      </c>
      <c r="J19" s="521">
        <f>FLOOR(J18,8.868360277)/8.868360277</f>
        <v>0</v>
      </c>
      <c r="K19" s="521">
        <f>FLOOR(K18,8.868360277)/8.868360277</f>
        <v>0</v>
      </c>
      <c r="M19" s="535" t="s">
        <v>422</v>
      </c>
      <c r="N19" s="522">
        <f>(N18)*B13*0.01</f>
        <v>4.0579247434435572</v>
      </c>
      <c r="O19" s="522">
        <f>(O18)*B15*0.01</f>
        <v>0.81759407069555312</v>
      </c>
      <c r="P19" s="522">
        <f>(P18)*Calculadora!B14*0.01</f>
        <v>0</v>
      </c>
      <c r="Q19" s="528"/>
      <c r="R19" s="535" t="s">
        <v>133</v>
      </c>
      <c r="S19" s="522">
        <f>(N19+O19+P19)</f>
        <v>4.8755188141391104</v>
      </c>
    </row>
    <row r="20" spans="1:20" ht="15.75" customHeight="1" thickBot="1">
      <c r="A20" s="554" t="s">
        <v>407</v>
      </c>
      <c r="B20" s="573">
        <f>IF(Calculadora!B17&gt;4.33,(Calculadora!B18-20),0)</f>
        <v>0</v>
      </c>
      <c r="C20" s="1057"/>
      <c r="D20" s="1057"/>
      <c r="E20" s="534" t="s">
        <v>46</v>
      </c>
      <c r="F20" s="516" t="e">
        <f>CC!E124</f>
        <v>#VALUE!</v>
      </c>
      <c r="G20" s="516" t="e">
        <f>CC!E125</f>
        <v>#VALUE!</v>
      </c>
      <c r="I20" s="535" t="s">
        <v>450</v>
      </c>
      <c r="J20" s="522">
        <f>MOD(J18,(1.92/0.2165))</f>
        <v>7.6897644083311514</v>
      </c>
      <c r="K20" s="522">
        <f>MOD(K18,(1.92/0.2165))</f>
        <v>7.7394744543225897</v>
      </c>
      <c r="M20" s="535" t="s">
        <v>8</v>
      </c>
      <c r="N20" s="522">
        <v>93.72</v>
      </c>
      <c r="O20" s="522">
        <v>92.79</v>
      </c>
      <c r="P20" s="522">
        <v>0</v>
      </c>
      <c r="R20" s="535" t="s">
        <v>134</v>
      </c>
      <c r="S20" s="522">
        <f>(O19-N19-P19)</f>
        <v>-3.2403306727480041</v>
      </c>
    </row>
    <row r="21" spans="1:20" ht="15.75" customHeight="1" thickBot="1">
      <c r="A21" s="551" t="s">
        <v>408</v>
      </c>
      <c r="B21" s="574">
        <f>IF(Calculadora!B18&lt;-4.33,(-Calculadora!B18-20),0)</f>
        <v>0</v>
      </c>
      <c r="I21" s="558" t="s">
        <v>135</v>
      </c>
      <c r="J21" s="577">
        <f>CC!F106</f>
        <v>68.90212794075957</v>
      </c>
      <c r="K21" s="577">
        <f>CC!F107</f>
        <v>69.36108670040808</v>
      </c>
      <c r="M21" s="535" t="s">
        <v>425</v>
      </c>
      <c r="N21" s="524">
        <f>N20*(B13*0.01)</f>
        <v>66.255872291904225</v>
      </c>
      <c r="O21" s="524">
        <f>O20*(B15*0.01)</f>
        <v>27.191596351197266</v>
      </c>
      <c r="P21" s="524">
        <f>P20*(B14*0.01)</f>
        <v>0</v>
      </c>
      <c r="Q21" s="580"/>
      <c r="R21" s="535" t="s">
        <v>8</v>
      </c>
      <c r="S21" s="522">
        <f>(O21+N21+P21)</f>
        <v>93.447468643101487</v>
      </c>
    </row>
    <row r="22" spans="1:20" ht="15.75" customHeight="1" thickBot="1">
      <c r="A22" s="555" t="s">
        <v>46</v>
      </c>
      <c r="B22" s="575">
        <f>PB!B3</f>
        <v>171.88888888888977</v>
      </c>
      <c r="E22" s="539" t="s">
        <v>423</v>
      </c>
      <c r="F22" s="540" t="s">
        <v>43</v>
      </c>
      <c r="G22" s="540" t="s">
        <v>44</v>
      </c>
      <c r="I22" s="534" t="s">
        <v>46</v>
      </c>
      <c r="J22" s="516" t="e">
        <f>CC!E106</f>
        <v>#VALUE!</v>
      </c>
      <c r="K22" s="516" t="e">
        <f>CC!E107</f>
        <v>#VALUE!</v>
      </c>
      <c r="M22" s="532"/>
      <c r="N22" s="512"/>
      <c r="O22" s="512"/>
      <c r="P22" s="532"/>
      <c r="Q22" s="512"/>
      <c r="R22" s="512"/>
      <c r="S22" s="512"/>
    </row>
    <row r="23" spans="1:20" ht="15.75" customHeight="1" thickBot="1">
      <c r="A23" s="555" t="s">
        <v>412</v>
      </c>
      <c r="B23" s="575">
        <f>PB!C3</f>
        <v>181.71111111111239</v>
      </c>
      <c r="E23" s="565" t="s">
        <v>172</v>
      </c>
      <c r="F23" s="566">
        <f>F2*0.92</f>
        <v>5.9331588191320277</v>
      </c>
      <c r="G23" s="566">
        <f>G2*0.92</f>
        <v>5.9709432783497807</v>
      </c>
      <c r="I23" s="559" t="s">
        <v>4</v>
      </c>
      <c r="J23" s="583">
        <f>CC!H106</f>
        <v>9</v>
      </c>
      <c r="K23" s="583">
        <f>CC!H107</f>
        <v>8</v>
      </c>
      <c r="M23" s="908" t="s">
        <v>426</v>
      </c>
      <c r="N23" s="909"/>
      <c r="O23" s="909"/>
      <c r="P23" s="909"/>
      <c r="Q23" s="909"/>
      <c r="R23" s="909"/>
      <c r="S23" s="910"/>
    </row>
    <row r="24" spans="1:20" ht="15.75" customHeight="1" thickBot="1">
      <c r="A24" s="510"/>
      <c r="B24" s="511"/>
      <c r="E24" s="535" t="s">
        <v>427</v>
      </c>
      <c r="F24" s="521">
        <f>FLOOR(F23,8.868360277)/8.868360277</f>
        <v>0</v>
      </c>
      <c r="G24" s="521">
        <f>FLOOR(G23,8.868360277)/8.868360277</f>
        <v>0</v>
      </c>
      <c r="M24" s="535" t="s">
        <v>414</v>
      </c>
      <c r="N24" s="512"/>
      <c r="O24" s="535" t="s">
        <v>136</v>
      </c>
      <c r="P24" s="512"/>
      <c r="Q24" s="535" t="s">
        <v>131</v>
      </c>
      <c r="R24" s="512"/>
      <c r="S24" s="535" t="s">
        <v>132</v>
      </c>
    </row>
    <row r="25" spans="1:20" ht="15.75" customHeight="1" thickBot="1">
      <c r="A25" s="557" t="s">
        <v>2</v>
      </c>
      <c r="B25" s="578">
        <f>CC!V3</f>
        <v>54.081648818078598</v>
      </c>
      <c r="E25" s="535" t="s">
        <v>450</v>
      </c>
      <c r="F25" s="522">
        <f>MOD(F23,(1.92/0.2165))</f>
        <v>5.9331588191320277</v>
      </c>
      <c r="G25" s="522">
        <f>MOD(G23,(1.92/0.2165))</f>
        <v>5.9709432783497807</v>
      </c>
      <c r="I25" s="548" t="s">
        <v>444</v>
      </c>
      <c r="J25" s="549" t="s">
        <v>43</v>
      </c>
      <c r="K25" s="549" t="s">
        <v>44</v>
      </c>
      <c r="M25" s="535" t="s">
        <v>46</v>
      </c>
      <c r="N25" s="512"/>
      <c r="O25" s="524">
        <f>INDEX(CB!C41:C113,(ROUNDUP(((N26-80)/(20/72))+1,0)),1)</f>
        <v>277.08888888888953</v>
      </c>
      <c r="P25" s="512"/>
      <c r="Q25" s="524">
        <f>INDEX(CB!F41:F113,(ROUNDUP(((N26-80)/(20/72))+1,0)),1)</f>
        <v>258.36666666666702</v>
      </c>
      <c r="R25" s="512"/>
      <c r="S25" s="524">
        <f>INDEX(CB!I41:I113,(ROUNDUP(((N26-80)/(20/72))+1,0)),1)</f>
        <v>239.6444444444445</v>
      </c>
    </row>
    <row r="26" spans="1:20" ht="15.75" customHeight="1" thickBot="1">
      <c r="A26" s="557" t="s">
        <v>124</v>
      </c>
      <c r="B26" s="576">
        <v>562</v>
      </c>
      <c r="E26" s="585" t="s">
        <v>135</v>
      </c>
      <c r="F26" s="581">
        <f>F5-2.24</f>
        <v>46.588702852883905</v>
      </c>
      <c r="G26" s="581">
        <f>G5-2.24</f>
        <v>46.898456338397075</v>
      </c>
      <c r="I26" s="533" t="s">
        <v>172</v>
      </c>
      <c r="J26" s="515">
        <f>CC!G178/0.2165</f>
        <v>4.0538330696032778</v>
      </c>
      <c r="K26" s="515">
        <f>CC!G179/0.2165</f>
        <v>4.075728254949559</v>
      </c>
      <c r="M26" s="535" t="s">
        <v>135</v>
      </c>
      <c r="N26" s="911">
        <f>S21</f>
        <v>93.447468643101487</v>
      </c>
      <c r="O26" s="912"/>
      <c r="P26" s="912"/>
      <c r="Q26" s="912"/>
      <c r="R26" s="912"/>
      <c r="S26" s="913"/>
    </row>
    <row r="27" spans="1:20" ht="15.75" customHeight="1" thickBot="1">
      <c r="A27" s="557" t="s">
        <v>125</v>
      </c>
      <c r="B27" s="576">
        <v>395</v>
      </c>
      <c r="E27" s="534" t="s">
        <v>46</v>
      </c>
      <c r="F27" s="516" t="e">
        <f>INDEX(CB!D41:D113,(ROUNDUP((((F26-80)/(20/72))+1),0)),1)</f>
        <v>#VALUE!</v>
      </c>
      <c r="G27" s="516" t="e">
        <f>INDEX(CB!D41:D113,(ROUNDUP((((G26-80)/(20/72))+1),0)),1)</f>
        <v>#VALUE!</v>
      </c>
      <c r="I27" s="535" t="s">
        <v>427</v>
      </c>
      <c r="J27" s="521">
        <f>FLOOR(J26,8.868360277)/8.868360277</f>
        <v>0</v>
      </c>
      <c r="K27" s="521">
        <f>FLOOR(K26,8.868360277)/8.868360277</f>
        <v>0</v>
      </c>
      <c r="M27" s="532"/>
      <c r="N27" s="512"/>
      <c r="O27" s="512"/>
      <c r="P27" s="512"/>
      <c r="Q27" s="512"/>
      <c r="R27" s="512"/>
      <c r="S27" s="532"/>
    </row>
    <row r="28" spans="1:20" ht="15.75" customHeight="1" thickBot="1">
      <c r="I28" s="535" t="s">
        <v>450</v>
      </c>
      <c r="J28" s="522">
        <f>MOD(J26,(1.92/0.2165))</f>
        <v>4.0538330696032778</v>
      </c>
      <c r="K28" s="522">
        <f>MOD(K26,(1.92/0.2165))</f>
        <v>4.075728254949559</v>
      </c>
      <c r="M28" s="908" t="s">
        <v>9</v>
      </c>
      <c r="N28" s="909"/>
      <c r="O28" s="909"/>
      <c r="P28" s="909"/>
      <c r="Q28" s="909"/>
      <c r="R28" s="909"/>
      <c r="S28" s="910"/>
    </row>
    <row r="29" spans="1:20" ht="15.75" customHeight="1" thickBot="1">
      <c r="A29" s="556" t="s">
        <v>428</v>
      </c>
      <c r="B29" s="574">
        <f>B18*0.8</f>
        <v>3.695150115473441</v>
      </c>
      <c r="E29" s="543" t="s">
        <v>192</v>
      </c>
      <c r="F29" s="541" t="s">
        <v>43</v>
      </c>
      <c r="G29" s="541" t="s">
        <v>44</v>
      </c>
      <c r="I29" s="558" t="s">
        <v>135</v>
      </c>
      <c r="J29" s="577">
        <f>CC!F178</f>
        <v>59.702418142955317</v>
      </c>
      <c r="K29" s="577">
        <f>CC!F179</f>
        <v>59.904394223933387</v>
      </c>
      <c r="M29" s="535" t="s">
        <v>414</v>
      </c>
      <c r="N29" s="512"/>
      <c r="O29" s="535" t="s">
        <v>136</v>
      </c>
      <c r="P29" s="512"/>
      <c r="Q29" s="535" t="s">
        <v>131</v>
      </c>
      <c r="R29" s="512"/>
      <c r="S29" s="535" t="s">
        <v>132</v>
      </c>
    </row>
    <row r="30" spans="1:20" ht="15.75" customHeight="1" thickBot="1">
      <c r="A30" s="554" t="s">
        <v>429</v>
      </c>
      <c r="B30" s="573">
        <f>B18*0.63</f>
        <v>2.9099307159353347</v>
      </c>
      <c r="E30" s="533" t="s">
        <v>172</v>
      </c>
      <c r="F30" s="515">
        <f>Beam!F3</f>
        <v>14.434092710084162</v>
      </c>
      <c r="G30" s="515">
        <f>Beam!N3</f>
        <v>14.434092710084162</v>
      </c>
      <c r="I30" s="534" t="s">
        <v>46</v>
      </c>
      <c r="J30" s="516" t="e">
        <f>CC!E178</f>
        <v>#VALUE!</v>
      </c>
      <c r="K30" s="516" t="e">
        <f>CC!E179</f>
        <v>#VALUE!</v>
      </c>
      <c r="M30" s="535" t="s">
        <v>46</v>
      </c>
      <c r="N30" s="512"/>
      <c r="O30" s="524">
        <f>IF(CC!Q31=0,INDEX(CB!B41:B113,(ROUNDDOWN(((N32-80)/(20/72)+1),0)),1),INDEX(CB!B41:B113,(ROUNDUP(((N32-80)/(20/72))+1,0)),1))</f>
        <v>261.33333333333348</v>
      </c>
      <c r="P30" s="512"/>
      <c r="Q30" s="524">
        <f>IF(CC!R31=0,INDEX(CB!E41:E113,(ROUNDDOWN(((N32-80)/(20/72)+1),0)),1),INDEX(CB!E41:E113,(ROUNDUP(((N32-80)/(20/72))+1,0)),1))</f>
        <v>243.38888888888874</v>
      </c>
      <c r="R30" s="512"/>
      <c r="S30" s="524">
        <f>IF(CC!S31=0,INDEX(CB!H41:H113,(ROUNDDOWN(((N32-80)/(20/72)+1),0)),1),INDEX(CB!H41:H113,(ROUNDUP(((N32-80)/(20/72))+1,0)),1))</f>
        <v>224.66666666666688</v>
      </c>
    </row>
    <row r="31" spans="1:20" ht="15.75" customHeight="1" thickBot="1">
      <c r="A31" s="553" t="s">
        <v>430</v>
      </c>
      <c r="B31" s="574">
        <f>B18*0.77</f>
        <v>3.5565819861431871</v>
      </c>
      <c r="E31" s="533" t="s">
        <v>135</v>
      </c>
      <c r="F31" s="577">
        <f>Beam!F4</f>
        <v>130.45785968925918</v>
      </c>
      <c r="G31" s="577">
        <f>Beam!N4</f>
        <v>133.22214031074083</v>
      </c>
      <c r="I31" s="559" t="s">
        <v>4</v>
      </c>
      <c r="J31" s="583">
        <f>CC!H178</f>
        <v>9</v>
      </c>
      <c r="K31" s="583">
        <f>CC!H179</f>
        <v>8</v>
      </c>
      <c r="M31" s="535" t="s">
        <v>4</v>
      </c>
      <c r="O31" s="521">
        <f>CC!Q33</f>
        <v>0</v>
      </c>
      <c r="Q31" s="521" t="str">
        <f>CC!R33</f>
        <v>H-</v>
      </c>
      <c r="S31" s="521">
        <f>CC!S33</f>
        <v>-50</v>
      </c>
    </row>
    <row r="32" spans="1:20" ht="15.75" customHeight="1" thickBot="1">
      <c r="A32" s="554" t="s">
        <v>431</v>
      </c>
      <c r="B32" s="573">
        <f>B18*0.69</f>
        <v>3.1870669745958424</v>
      </c>
      <c r="E32" s="534" t="s">
        <v>46</v>
      </c>
      <c r="F32" s="516" t="e">
        <f>Beam!F5</f>
        <v>#REF!</v>
      </c>
      <c r="G32" s="516" t="e">
        <f>Beam!N5</f>
        <v>#REF!</v>
      </c>
      <c r="M32" s="535" t="s">
        <v>135</v>
      </c>
      <c r="N32" s="911">
        <f>S21</f>
        <v>93.447468643101487</v>
      </c>
      <c r="O32" s="912"/>
      <c r="P32" s="912"/>
      <c r="Q32" s="912"/>
      <c r="R32" s="912"/>
      <c r="S32" s="913"/>
    </row>
    <row r="33" spans="1:11" ht="15.75" customHeight="1" thickBot="1">
      <c r="I33" s="548" t="s">
        <v>443</v>
      </c>
      <c r="J33" s="549" t="s">
        <v>43</v>
      </c>
      <c r="K33" s="549" t="s">
        <v>44</v>
      </c>
    </row>
    <row r="34" spans="1:11" ht="15.75" customHeight="1" thickBot="1">
      <c r="A34" s="905" t="s">
        <v>432</v>
      </c>
      <c r="B34" s="906"/>
      <c r="E34" s="542" t="s">
        <v>439</v>
      </c>
      <c r="F34" s="541" t="s">
        <v>43</v>
      </c>
      <c r="G34" s="541" t="s">
        <v>44</v>
      </c>
      <c r="I34" s="533" t="s">
        <v>172</v>
      </c>
      <c r="J34" s="515">
        <f>CC!G196/0.2165</f>
        <v>8.3608949167714552</v>
      </c>
      <c r="K34" s="515">
        <f>CC!G197/0.2165</f>
        <v>8.4543160865428426</v>
      </c>
    </row>
    <row r="35" spans="1:11" ht="15.75" customHeight="1" thickBot="1">
      <c r="A35" s="556" t="s">
        <v>164</v>
      </c>
      <c r="B35" s="507">
        <f>B1</f>
        <v>131.55000000000001</v>
      </c>
      <c r="E35" s="533" t="s">
        <v>172</v>
      </c>
      <c r="F35" s="515">
        <f>'Dunk 2i'!R155/0.2165</f>
        <v>12.633565505988221</v>
      </c>
      <c r="G35" s="515">
        <f>'Dunk 2i'!V155/0.2165</f>
        <v>12.964355577988341</v>
      </c>
      <c r="I35" s="535" t="s">
        <v>427</v>
      </c>
      <c r="J35" s="521">
        <f>FLOOR(J34,8.868360277)/8.868360277</f>
        <v>0</v>
      </c>
      <c r="K35" s="521">
        <f>FLOOR(K34,8.868360277)/8.868360277</f>
        <v>0</v>
      </c>
    </row>
    <row r="36" spans="1:11" ht="15.75" customHeight="1" thickBot="1">
      <c r="A36" s="556" t="s">
        <v>433</v>
      </c>
      <c r="B36" s="507">
        <v>2</v>
      </c>
      <c r="E36" s="558" t="s">
        <v>135</v>
      </c>
      <c r="F36" s="577">
        <f>'Dunk 2i'!R143</f>
        <v>88.535684156532895</v>
      </c>
      <c r="G36" s="577">
        <f>'Dunk 2i'!V143</f>
        <v>89.364553225786096</v>
      </c>
      <c r="I36" s="535" t="s">
        <v>450</v>
      </c>
      <c r="J36" s="522">
        <f>MOD(J34,(1.92/0.2165))</f>
        <v>8.3608949167714552</v>
      </c>
      <c r="K36" s="522">
        <f>MOD(K34,(1.92/0.2165))</f>
        <v>8.4543160865428426</v>
      </c>
    </row>
    <row r="37" spans="1:11" ht="16.5" customHeight="1" thickBot="1">
      <c r="A37" s="556" t="s">
        <v>434</v>
      </c>
      <c r="B37" s="507">
        <v>180</v>
      </c>
      <c r="E37" s="534" t="s">
        <v>46</v>
      </c>
      <c r="F37" s="516">
        <f>ROUND((F36*0.01)*180,1)</f>
        <v>159.4</v>
      </c>
      <c r="G37" s="516">
        <f>ROUND((G36*0.01)*180,1)</f>
        <v>160.9</v>
      </c>
      <c r="I37" s="558" t="s">
        <v>135</v>
      </c>
      <c r="J37" s="577">
        <f>CC!F196</f>
        <v>58.832166466757819</v>
      </c>
      <c r="K37" s="577">
        <f>CC!F197</f>
        <v>59.222089922360169</v>
      </c>
    </row>
    <row r="38" spans="1:11" ht="15.75" customHeight="1" thickBot="1">
      <c r="A38" s="556" t="s">
        <v>435</v>
      </c>
      <c r="B38" s="508">
        <f>B36*B37/B35</f>
        <v>2.7366020524515391</v>
      </c>
      <c r="I38" s="534" t="s">
        <v>46</v>
      </c>
      <c r="J38" s="516" t="e">
        <f>CC!E196</f>
        <v>#VALUE!</v>
      </c>
      <c r="K38" s="516" t="e">
        <f>CC!E197</f>
        <v>#VALUE!</v>
      </c>
    </row>
    <row r="39" spans="1:11" ht="15.75" customHeight="1" thickBot="1">
      <c r="E39" s="542" t="s">
        <v>440</v>
      </c>
      <c r="F39" s="541" t="s">
        <v>43</v>
      </c>
      <c r="G39" s="541" t="s">
        <v>44</v>
      </c>
      <c r="I39" s="559" t="s">
        <v>4</v>
      </c>
      <c r="J39" s="583">
        <f>CC!H196</f>
        <v>9</v>
      </c>
      <c r="K39" s="583">
        <f>CC!H197</f>
        <v>9</v>
      </c>
    </row>
    <row r="40" spans="1:11" ht="15.75" customHeight="1" thickBot="1">
      <c r="A40" s="588"/>
      <c r="B40" s="588"/>
      <c r="E40" s="533" t="s">
        <v>172</v>
      </c>
      <c r="F40" s="515">
        <f>'Dunk 2i'!A149/0.2165</f>
        <v>14.352606941641294</v>
      </c>
      <c r="G40" s="515">
        <f>'Dunk 2i'!C149/0.2165</f>
        <v>14.352606941641294</v>
      </c>
    </row>
    <row r="41" spans="1:11" ht="15.75" customHeight="1" thickBot="1">
      <c r="A41" s="538"/>
      <c r="B41" s="512"/>
      <c r="E41" s="558" t="s">
        <v>135</v>
      </c>
      <c r="F41" s="582">
        <f>'Dunk 2i'!A156</f>
        <v>126.60295757559902</v>
      </c>
      <c r="G41" s="577">
        <f>'Dunk 2i'!C156</f>
        <v>129.39046744600068</v>
      </c>
      <c r="I41" s="548" t="s">
        <v>445</v>
      </c>
      <c r="J41" s="549" t="s">
        <v>43</v>
      </c>
      <c r="K41" s="549" t="s">
        <v>44</v>
      </c>
    </row>
    <row r="42" spans="1:11" ht="16.5" customHeight="1" thickBot="1">
      <c r="A42" s="538"/>
      <c r="B42" s="586"/>
      <c r="E42" s="537" t="s">
        <v>46</v>
      </c>
      <c r="F42" s="529">
        <f>ROUND(F41*140,1)/100</f>
        <v>177.24400000000003</v>
      </c>
      <c r="G42" s="516">
        <f>ROUND(G41*140,1)/100</f>
        <v>181.14700000000002</v>
      </c>
      <c r="I42" s="533" t="s">
        <v>172</v>
      </c>
      <c r="J42" s="515">
        <f>CC!G214/0.2165</f>
        <v>8.7029397643665813</v>
      </c>
      <c r="K42" s="515">
        <f>CC!G215/0.2165</f>
        <v>8.7910528318882974</v>
      </c>
    </row>
    <row r="43" spans="1:11" ht="15.75" customHeight="1" thickBot="1">
      <c r="A43" s="538"/>
      <c r="B43" s="587"/>
      <c r="I43" s="535" t="s">
        <v>427</v>
      </c>
      <c r="J43" s="521">
        <f>FLOOR(J42,8.868360277)/8.868360277</f>
        <v>0</v>
      </c>
      <c r="K43" s="521">
        <f>FLOOR(K42,8.868360277)/8.868360277</f>
        <v>0</v>
      </c>
    </row>
    <row r="44" spans="1:11" ht="15.75" customHeight="1" thickBot="1">
      <c r="I44" s="535" t="s">
        <v>450</v>
      </c>
      <c r="J44" s="522">
        <f>MOD(J42,(1.92/0.2165))</f>
        <v>8.7029397643665813</v>
      </c>
      <c r="K44" s="522">
        <f>MOD(K42,(1.92/0.2165))</f>
        <v>8.7910528318882974</v>
      </c>
    </row>
    <row r="45" spans="1:11" ht="15.75" customHeight="1" thickBot="1">
      <c r="I45" s="558" t="s">
        <v>135</v>
      </c>
      <c r="J45" s="577">
        <f>CC!F214</f>
        <v>63.476118452083057</v>
      </c>
      <c r="K45" s="577">
        <f>CC!F215</f>
        <v>63.851889865912135</v>
      </c>
    </row>
    <row r="46" spans="1:11" ht="15.75" customHeight="1" thickBot="1">
      <c r="I46" s="534" t="s">
        <v>46</v>
      </c>
      <c r="J46" s="516" t="e">
        <f>CC!E214</f>
        <v>#VALUE!</v>
      </c>
      <c r="K46" s="516" t="e">
        <f>CC!E215</f>
        <v>#VALUE!</v>
      </c>
    </row>
    <row r="47" spans="1:11" ht="15.75" customHeight="1" thickBot="1">
      <c r="I47" s="559" t="s">
        <v>4</v>
      </c>
      <c r="J47" s="583">
        <f>CC!H214</f>
        <v>29</v>
      </c>
      <c r="K47" s="583">
        <f>CC!H215</f>
        <v>30</v>
      </c>
    </row>
    <row r="48" spans="1:11" ht="15.75" customHeight="1" thickBot="1"/>
    <row r="49" spans="1:11" ht="15.75" customHeight="1" thickBot="1">
      <c r="A49" s="538"/>
      <c r="B49" s="510"/>
      <c r="I49" s="548" t="s">
        <v>446</v>
      </c>
      <c r="J49" s="549" t="s">
        <v>43</v>
      </c>
      <c r="K49" s="549" t="s">
        <v>44</v>
      </c>
    </row>
    <row r="50" spans="1:11" ht="15.75" customHeight="1" thickBot="1">
      <c r="A50" s="538"/>
      <c r="B50" s="512"/>
      <c r="I50" s="533" t="s">
        <v>172</v>
      </c>
      <c r="J50" s="515">
        <f>CC!G232/0.2165</f>
        <v>6.558982186665606</v>
      </c>
      <c r="K50" s="515">
        <f>CC!G233/0.2165</f>
        <v>6.6087561904283794</v>
      </c>
    </row>
    <row r="51" spans="1:11" ht="15.75" customHeight="1" thickBot="1">
      <c r="A51" s="538"/>
      <c r="B51" s="512"/>
      <c r="I51" s="535" t="s">
        <v>427</v>
      </c>
      <c r="J51" s="521">
        <f>FLOOR(J50,8.868360277)/8.868360277</f>
        <v>0</v>
      </c>
      <c r="K51" s="521">
        <f>FLOOR(K50,8.868360277)/8.868360277</f>
        <v>0</v>
      </c>
    </row>
    <row r="52" spans="1:11" ht="15.75" customHeight="1" thickBot="1">
      <c r="I52" s="535" t="s">
        <v>450</v>
      </c>
      <c r="J52" s="522">
        <f>MOD(J50,(1.92/0.2165))</f>
        <v>6.558982186665606</v>
      </c>
      <c r="K52" s="522">
        <f>MOD(K50,(1.92/0.2165))</f>
        <v>6.6087561904283794</v>
      </c>
    </row>
    <row r="53" spans="1:11" ht="15.75" customHeight="1" thickBot="1">
      <c r="I53" s="558" t="s">
        <v>135</v>
      </c>
      <c r="J53" s="577">
        <f>CC!F232</f>
        <v>59.880997621389525</v>
      </c>
      <c r="K53" s="577">
        <f>CC!F233</f>
        <v>60.162421917425569</v>
      </c>
    </row>
    <row r="54" spans="1:11" ht="15.75" customHeight="1" thickBot="1">
      <c r="I54" s="534" t="s">
        <v>46</v>
      </c>
      <c r="J54" s="516" t="e">
        <f>CC!E232</f>
        <v>#VALUE!</v>
      </c>
      <c r="K54" s="516" t="e">
        <f>CC!E233</f>
        <v>#VALUE!</v>
      </c>
    </row>
    <row r="55" spans="1:11" ht="15.75" customHeight="1" thickBot="1">
      <c r="I55" s="559" t="s">
        <v>4</v>
      </c>
      <c r="J55" s="583">
        <f>CC!H232</f>
        <v>29</v>
      </c>
      <c r="K55" s="583">
        <f>CC!H233</f>
        <v>29</v>
      </c>
    </row>
    <row r="56" spans="1:11" ht="15.75" customHeight="1" thickBot="1"/>
    <row r="57" spans="1:11" ht="15.75" customHeight="1" thickBot="1">
      <c r="I57" s="548" t="s">
        <v>447</v>
      </c>
      <c r="J57" s="549" t="s">
        <v>43</v>
      </c>
      <c r="K57" s="549" t="s">
        <v>44</v>
      </c>
    </row>
    <row r="58" spans="1:11" ht="15.75" customHeight="1" thickBot="1">
      <c r="I58" s="533" t="s">
        <v>172</v>
      </c>
      <c r="J58" s="515">
        <f>CC!G250/0.2165</f>
        <v>8.8430059111827664</v>
      </c>
      <c r="K58" s="515">
        <f>CC!G251/0.2165</f>
        <v>8.9334493637142671</v>
      </c>
    </row>
    <row r="59" spans="1:11" ht="15.75" customHeight="1" thickBot="1">
      <c r="I59" s="535" t="s">
        <v>427</v>
      </c>
      <c r="J59" s="521">
        <f>FLOOR(J58,8.868360277)/8.868360277</f>
        <v>0</v>
      </c>
      <c r="K59" s="521">
        <f>FLOOR(K58,8.868360277)/8.868360277</f>
        <v>1</v>
      </c>
    </row>
    <row r="60" spans="1:11" ht="15.75" customHeight="1" thickBot="1">
      <c r="I60" s="535" t="s">
        <v>450</v>
      </c>
      <c r="J60" s="522">
        <f>MOD(J58,(1.92/0.2165))</f>
        <v>8.8430059111827664</v>
      </c>
      <c r="K60" s="522">
        <f>MOD(K58,(1.92/0.2165))</f>
        <v>6.5089086578009159E-2</v>
      </c>
    </row>
    <row r="61" spans="1:11" ht="15.75" customHeight="1" thickBot="1">
      <c r="I61" s="558" t="s">
        <v>135</v>
      </c>
      <c r="J61" s="577">
        <f>CC!F250</f>
        <v>57.98643910370734</v>
      </c>
      <c r="K61" s="577">
        <f>CC!F251</f>
        <v>58.362800647694669</v>
      </c>
    </row>
    <row r="62" spans="1:11" ht="15.75" customHeight="1" thickBot="1">
      <c r="I62" s="534" t="s">
        <v>46</v>
      </c>
      <c r="J62" s="516" t="e">
        <f>CC!E250</f>
        <v>#VALUE!</v>
      </c>
      <c r="K62" s="516" t="e">
        <f>CC!E251</f>
        <v>#VALUE!</v>
      </c>
    </row>
    <row r="63" spans="1:11" ht="15.75" customHeight="1" thickBot="1">
      <c r="I63" s="559" t="s">
        <v>4</v>
      </c>
      <c r="J63" s="583">
        <f>CC!H250</f>
        <v>30</v>
      </c>
      <c r="K63" s="583">
        <f>CC!H251</f>
        <v>30</v>
      </c>
    </row>
    <row r="64" spans="1:11" ht="14.25" customHeight="1"/>
    <row r="65" spans="5:9" ht="14.25" customHeight="1"/>
    <row r="66" spans="5:9" ht="14.25" customHeight="1"/>
    <row r="67" spans="5:9" ht="13.5" customHeight="1">
      <c r="E67" s="514"/>
      <c r="I67" s="514"/>
    </row>
    <row r="68" spans="5:9" ht="12.75" customHeight="1">
      <c r="E68" s="514"/>
      <c r="I68" s="514"/>
    </row>
    <row r="69" spans="5:9" ht="12.75" customHeight="1">
      <c r="E69" s="514"/>
      <c r="I69" s="514"/>
    </row>
    <row r="70" spans="5:9" ht="12.75" customHeight="1">
      <c r="E70" s="514"/>
      <c r="I70" s="514"/>
    </row>
    <row r="71" spans="5:9" ht="12.75" customHeight="1">
      <c r="E71" s="514"/>
      <c r="I71" s="514"/>
    </row>
    <row r="72" spans="5:9" ht="12.75" customHeight="1">
      <c r="E72" s="514"/>
      <c r="I72" s="514"/>
    </row>
    <row r="73" spans="5:9" ht="12.75" customHeight="1">
      <c r="E73" s="514"/>
      <c r="I73" s="514"/>
    </row>
    <row r="74" spans="5:9" ht="12.75" customHeight="1">
      <c r="E74" s="514"/>
      <c r="I74" s="514"/>
    </row>
    <row r="75" spans="5:9" ht="12.75" customHeight="1">
      <c r="E75" s="514"/>
      <c r="I75" s="514"/>
    </row>
    <row r="76" spans="5:9" ht="12.75" customHeight="1">
      <c r="E76" s="514"/>
      <c r="I76" s="514"/>
    </row>
    <row r="77" spans="5:9" ht="12.75" customHeight="1">
      <c r="E77" s="514"/>
      <c r="I77" s="514"/>
    </row>
    <row r="78" spans="5:9" ht="12.75" customHeight="1">
      <c r="E78" s="514"/>
      <c r="I78" s="514"/>
    </row>
    <row r="79" spans="5:9" ht="12.75" customHeight="1">
      <c r="E79" s="514"/>
      <c r="I79" s="514"/>
    </row>
    <row r="80" spans="5:9" ht="12.75" customHeight="1">
      <c r="E80" s="514"/>
      <c r="I80" s="514"/>
    </row>
    <row r="81" spans="5:9" ht="12.75" customHeight="1">
      <c r="E81" s="514"/>
      <c r="I81" s="514"/>
    </row>
    <row r="82" spans="5:9" ht="12.75" customHeight="1">
      <c r="E82" s="514"/>
      <c r="I82" s="514"/>
    </row>
  </sheetData>
  <mergeCells count="6">
    <mergeCell ref="A34:B34"/>
    <mergeCell ref="R18:S18"/>
    <mergeCell ref="M23:S23"/>
    <mergeCell ref="N26:S26"/>
    <mergeCell ref="M28:S28"/>
    <mergeCell ref="N32:S32"/>
  </mergeCells>
  <pageMargins left="0.78749999999999998" right="0.78749999999999998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U296"/>
  <sheetViews>
    <sheetView showGridLines="0" showRowColHeaders="0" topLeftCell="A11" zoomScale="80" zoomScaleNormal="80" workbookViewId="0">
      <selection activeCell="E27" sqref="E27"/>
    </sheetView>
  </sheetViews>
  <sheetFormatPr defaultRowHeight="12.75" customHeight="1"/>
  <cols>
    <col min="1" max="1" width="11.42578125" customWidth="1"/>
    <col min="2" max="4" width="7.7109375" customWidth="1"/>
    <col min="5" max="5" width="13.7109375" customWidth="1"/>
    <col min="6" max="6" width="18.7109375" customWidth="1"/>
    <col min="7" max="7" width="9.7109375" customWidth="1"/>
    <col min="8" max="8" width="7.85546875" customWidth="1"/>
    <col min="9" max="9" width="17.7109375" customWidth="1"/>
    <col min="10" max="10" width="10.7109375" customWidth="1"/>
    <col min="11" max="11" width="11.42578125" customWidth="1"/>
    <col min="12" max="12" width="10.5703125" bestFit="1" customWidth="1"/>
    <col min="13" max="13" width="19.5703125" customWidth="1"/>
    <col min="14" max="15" width="10.7109375" customWidth="1"/>
    <col min="16" max="17" width="13.140625" bestFit="1" customWidth="1"/>
    <col min="18" max="18" width="12.42578125" bestFit="1" customWidth="1"/>
    <col min="21" max="21" width="12.7109375" customWidth="1"/>
    <col min="22" max="22" width="11.7109375" customWidth="1"/>
    <col min="28" max="28" width="10.5703125" bestFit="1" customWidth="1"/>
  </cols>
  <sheetData>
    <row r="1" spans="1:47" ht="13.5" customHeight="1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918" t="s">
        <v>10</v>
      </c>
      <c r="O1" s="918"/>
      <c r="P1" s="918" t="s">
        <v>12</v>
      </c>
      <c r="Q1" s="918"/>
      <c r="R1" s="917" t="s">
        <v>45</v>
      </c>
      <c r="S1" s="918"/>
      <c r="U1" s="75" t="s">
        <v>126</v>
      </c>
      <c r="V1" s="77">
        <v>751</v>
      </c>
      <c r="Y1" s="1"/>
      <c r="Z1" s="1"/>
      <c r="AA1" s="1"/>
      <c r="AN1" s="5" t="s">
        <v>6</v>
      </c>
      <c r="AO1" s="5">
        <f>COS(Calculadora!B4*PI()/180)</f>
        <v>0.30901699437494745</v>
      </c>
      <c r="AP1" s="5"/>
      <c r="AQ1" s="2"/>
      <c r="AR1" s="2"/>
      <c r="AS1" s="5" t="s">
        <v>40</v>
      </c>
      <c r="AT1" s="5">
        <f>COS(RADIANS(Calculadora!B4))</f>
        <v>0.30901699437494745</v>
      </c>
      <c r="AU1" s="1"/>
    </row>
    <row r="2" spans="1:47" ht="13.5" customHeight="1" thickBot="1">
      <c r="A2" s="366" t="s">
        <v>37</v>
      </c>
      <c r="B2" s="294">
        <v>1</v>
      </c>
      <c r="C2" s="291">
        <v>0.9</v>
      </c>
      <c r="D2" s="35">
        <v>0.8</v>
      </c>
      <c r="E2" s="5"/>
      <c r="F2" s="83" t="s">
        <v>18</v>
      </c>
      <c r="G2" s="9"/>
      <c r="H2" s="5"/>
      <c r="I2" s="8" t="s">
        <v>1</v>
      </c>
      <c r="J2" s="10"/>
      <c r="K2" s="5"/>
      <c r="L2" s="52" t="s">
        <v>18</v>
      </c>
      <c r="M2" s="62">
        <f>B4*(M8-C3)*(M8-D3)/((B3-C3)*(B3-D3))+C4*(M8-B3)*(M8-D3)/((C3-B3)*(C3-D3))+D4*(M8-B3)*(M8-C3)/((D3-B3)*(D3-C3))</f>
        <v>0.37592956601048932</v>
      </c>
      <c r="N2" s="66">
        <v>0.7</v>
      </c>
      <c r="O2" s="67">
        <v>24.75</v>
      </c>
      <c r="P2" s="68">
        <v>0.7</v>
      </c>
      <c r="Q2" s="67">
        <v>24.75</v>
      </c>
      <c r="R2" s="68">
        <v>0.7</v>
      </c>
      <c r="S2" s="67">
        <v>24.75</v>
      </c>
      <c r="U2" s="76" t="s">
        <v>127</v>
      </c>
      <c r="V2" s="77">
        <v>544</v>
      </c>
      <c r="Y2" s="1"/>
      <c r="Z2" s="1"/>
      <c r="AA2" s="1"/>
      <c r="AN2" s="5" t="s">
        <v>5</v>
      </c>
      <c r="AO2" s="5">
        <f>SIN(Calculadora!B4*PI()/180)</f>
        <v>0.95105651629515353</v>
      </c>
      <c r="AQ2" s="2"/>
      <c r="AR2" s="3"/>
      <c r="AS2" s="1"/>
      <c r="AT2" s="1"/>
      <c r="AU2" s="1"/>
    </row>
    <row r="3" spans="1:47" ht="12.75" customHeight="1" thickBot="1">
      <c r="A3" s="324" t="s">
        <v>8</v>
      </c>
      <c r="B3" s="295">
        <v>300.39999999999998</v>
      </c>
      <c r="C3" s="292">
        <v>266.89999999999998</v>
      </c>
      <c r="D3" s="290">
        <v>234</v>
      </c>
      <c r="E3" s="5"/>
      <c r="F3" s="307" t="s">
        <v>20</v>
      </c>
      <c r="G3" s="305">
        <f>M2*$AO$2*Calculadora!$B$3</f>
        <v>1.4301210536891398</v>
      </c>
      <c r="H3" s="5"/>
      <c r="I3" s="317"/>
      <c r="J3" s="318"/>
      <c r="K3" s="17"/>
      <c r="L3" s="50" t="s">
        <v>21</v>
      </c>
      <c r="M3" s="63">
        <f>K15*POWER(J15,(B3-M8))</f>
        <v>4.4591393069968746</v>
      </c>
      <c r="N3" s="66">
        <v>0.75</v>
      </c>
      <c r="O3" s="67">
        <v>21</v>
      </c>
      <c r="P3" s="68">
        <v>0.75</v>
      </c>
      <c r="Q3" s="67">
        <v>20.75</v>
      </c>
      <c r="R3" s="68">
        <v>0.75</v>
      </c>
      <c r="S3" s="67">
        <v>21</v>
      </c>
      <c r="T3" s="1"/>
      <c r="U3" s="76" t="s">
        <v>2</v>
      </c>
      <c r="V3" s="76">
        <f>ATAN(V6)*180/PI()</f>
        <v>54.081648818078598</v>
      </c>
      <c r="W3" s="1"/>
      <c r="X3" s="1"/>
      <c r="Y3" s="1"/>
      <c r="Z3" s="1"/>
      <c r="AA3" s="1"/>
    </row>
    <row r="4" spans="1:47" ht="12.75" customHeight="1" thickBot="1">
      <c r="A4" s="296" t="s">
        <v>18</v>
      </c>
      <c r="B4" s="295">
        <v>1.0549999999999999</v>
      </c>
      <c r="C4" s="297">
        <v>0.755</v>
      </c>
      <c r="D4" s="297">
        <v>0.54</v>
      </c>
      <c r="E4" s="5"/>
      <c r="F4" s="52" t="s">
        <v>22</v>
      </c>
      <c r="G4" s="306">
        <f>IF(G10&gt;0,G3*M5,G3*M6)</f>
        <v>1.400215829497937</v>
      </c>
      <c r="H4" s="5"/>
      <c r="I4" s="299" t="s">
        <v>23</v>
      </c>
      <c r="J4" s="20">
        <f>M2*Calculadora!$B$3*$AO$1</f>
        <v>0.46467449834095925</v>
      </c>
      <c r="K4" s="17"/>
      <c r="L4" s="50" t="s">
        <v>24</v>
      </c>
      <c r="M4" s="63">
        <f>K16*POWER(J16,(B3-M8))</f>
        <v>3.9019809865296513</v>
      </c>
      <c r="N4" s="66">
        <v>0.8</v>
      </c>
      <c r="O4" s="67">
        <v>15.6</v>
      </c>
      <c r="P4" s="68">
        <v>0.8</v>
      </c>
      <c r="Q4" s="67">
        <v>16</v>
      </c>
      <c r="R4" s="68">
        <v>0.8</v>
      </c>
      <c r="S4" s="67">
        <v>16</v>
      </c>
      <c r="T4" s="1"/>
      <c r="U4" s="1"/>
      <c r="V4" s="78">
        <f>ABS(V1-Calculadora!C2)</f>
        <v>751</v>
      </c>
      <c r="W4" s="1"/>
      <c r="X4" s="1"/>
      <c r="Y4" s="1"/>
      <c r="Z4" s="1"/>
      <c r="AA4" s="1"/>
    </row>
    <row r="5" spans="1:47" ht="12.75" customHeight="1" thickBot="1">
      <c r="A5" s="445" t="s">
        <v>264</v>
      </c>
      <c r="B5" s="446">
        <v>301.5</v>
      </c>
      <c r="C5" s="445">
        <v>268</v>
      </c>
      <c r="D5" s="445">
        <v>235.7</v>
      </c>
      <c r="E5" s="5"/>
      <c r="F5" s="308" t="s">
        <v>25</v>
      </c>
      <c r="G5" s="304">
        <f>G4*J8</f>
        <v>1.3962270481979173</v>
      </c>
      <c r="H5" s="5"/>
      <c r="I5" s="52"/>
      <c r="J5" s="316"/>
      <c r="K5" s="17"/>
      <c r="L5" s="50" t="s">
        <v>26</v>
      </c>
      <c r="M5" s="63">
        <f>IF((M8&gt;0),((100+(G10/-I15))/100))</f>
        <v>0.97908902598555614</v>
      </c>
      <c r="N5" s="66">
        <v>0.85</v>
      </c>
      <c r="O5" s="67">
        <v>12.7</v>
      </c>
      <c r="P5" s="68">
        <v>0.85</v>
      </c>
      <c r="Q5" s="67">
        <v>11.5</v>
      </c>
      <c r="R5" s="68">
        <v>0.85</v>
      </c>
      <c r="S5" s="67">
        <v>12</v>
      </c>
      <c r="T5" s="1"/>
      <c r="U5" s="1"/>
      <c r="V5" s="78">
        <f>ABS(V2-Calculadora!C3)</f>
        <v>544</v>
      </c>
      <c r="W5" s="1"/>
      <c r="X5" s="1"/>
      <c r="Y5" s="1"/>
      <c r="Z5" s="1"/>
      <c r="AA5" s="1"/>
    </row>
    <row r="6" spans="1:47" ht="12.75" customHeight="1" thickBot="1">
      <c r="A6" s="5"/>
      <c r="D6" s="5"/>
      <c r="E6" s="5"/>
      <c r="F6" s="301" t="s">
        <v>27</v>
      </c>
      <c r="G6" s="25">
        <f>G4/J9</f>
        <v>1.4051187171333994</v>
      </c>
      <c r="H6" s="5"/>
      <c r="I6" s="315" t="s">
        <v>28</v>
      </c>
      <c r="J6" s="314">
        <f>AT1*Calculadora!B3*M2*0.95*(1-(G10*0.016))</f>
        <v>0.41435495777818848</v>
      </c>
      <c r="K6" s="17"/>
      <c r="L6" s="50" t="s">
        <v>29</v>
      </c>
      <c r="M6" s="63">
        <f>IF((M8&gt;0),((100+(G10/-I16))/100))</f>
        <v>1.0064622364574627</v>
      </c>
      <c r="N6" s="66">
        <v>0.9</v>
      </c>
      <c r="O6" s="67">
        <v>8</v>
      </c>
      <c r="P6" s="68">
        <v>0.9</v>
      </c>
      <c r="Q6" s="67">
        <v>7.5</v>
      </c>
      <c r="R6" s="68">
        <v>0.9</v>
      </c>
      <c r="S6" s="67">
        <v>8</v>
      </c>
      <c r="T6" s="1"/>
      <c r="U6" s="1"/>
      <c r="V6" s="78">
        <f>V4/V5</f>
        <v>1.380514705882353</v>
      </c>
      <c r="W6" s="1"/>
      <c r="X6" s="1"/>
      <c r="Y6" s="1"/>
      <c r="Z6" s="1"/>
      <c r="AA6" s="1"/>
    </row>
    <row r="7" spans="1:47" ht="12.75" customHeight="1" thickBot="1">
      <c r="A7" s="449" t="s">
        <v>21</v>
      </c>
      <c r="B7" s="450">
        <v>1</v>
      </c>
      <c r="C7" s="451">
        <v>0.68</v>
      </c>
      <c r="D7" s="5"/>
      <c r="E7" s="5"/>
      <c r="F7" s="5"/>
      <c r="G7" s="5"/>
      <c r="H7" s="5"/>
      <c r="I7" s="311" t="s">
        <v>30</v>
      </c>
      <c r="J7" s="312">
        <f>AT1*Calculadora!B3*M2*1.25*(1-(G10*0.016))</f>
        <v>0.54520389181340601</v>
      </c>
      <c r="K7" s="17"/>
      <c r="L7" s="52" t="s">
        <v>52</v>
      </c>
      <c r="M7" s="64">
        <f>M2/4*Calculadora!$B$5</f>
        <v>0</v>
      </c>
      <c r="N7" s="66">
        <v>0.92</v>
      </c>
      <c r="O7" s="67">
        <v>6.25</v>
      </c>
      <c r="P7" s="68">
        <v>0.92</v>
      </c>
      <c r="Q7" s="67">
        <v>5.9</v>
      </c>
      <c r="R7" s="68">
        <v>0.92</v>
      </c>
      <c r="S7" s="67">
        <v>8.5</v>
      </c>
      <c r="T7" s="1"/>
      <c r="U7" s="1"/>
      <c r="V7" s="1"/>
      <c r="W7" s="1"/>
      <c r="X7" s="1"/>
      <c r="Y7" s="1"/>
      <c r="Z7" s="1"/>
      <c r="AA7" s="1"/>
    </row>
    <row r="8" spans="1:47" ht="12.75" customHeight="1" thickBot="1">
      <c r="A8" s="452" t="s">
        <v>21</v>
      </c>
      <c r="B8" s="453">
        <v>20</v>
      </c>
      <c r="C8" s="454">
        <f>C7</f>
        <v>0.68</v>
      </c>
      <c r="D8" s="5"/>
      <c r="E8" s="5"/>
      <c r="F8" s="8" t="s">
        <v>0</v>
      </c>
      <c r="G8" s="5"/>
      <c r="H8" s="5"/>
      <c r="I8" s="299" t="s">
        <v>31</v>
      </c>
      <c r="J8" s="20">
        <f>(100+(J6*2.75/-4))/100</f>
        <v>0.99715130966527499</v>
      </c>
      <c r="K8" s="17"/>
      <c r="L8" s="52" t="s">
        <v>53</v>
      </c>
      <c r="M8" s="64">
        <f>CC!O12</f>
        <v>131.55000000000001</v>
      </c>
      <c r="N8" s="66">
        <v>0.95</v>
      </c>
      <c r="O8" s="67">
        <v>4</v>
      </c>
      <c r="P8" s="68">
        <v>0.95</v>
      </c>
      <c r="Q8" s="69">
        <v>3.7</v>
      </c>
      <c r="R8" s="68">
        <v>0.95</v>
      </c>
      <c r="S8" s="67">
        <v>4</v>
      </c>
      <c r="T8" s="1"/>
      <c r="U8" s="1"/>
      <c r="V8" s="1"/>
      <c r="W8" s="1"/>
      <c r="X8" s="1"/>
      <c r="Y8" s="1"/>
      <c r="Z8" s="1"/>
      <c r="AA8" s="1"/>
    </row>
    <row r="9" spans="1:47" ht="12.75" customHeight="1" thickBot="1">
      <c r="A9" s="449" t="s">
        <v>21</v>
      </c>
      <c r="B9" s="450">
        <v>40</v>
      </c>
      <c r="C9" s="451">
        <v>0.68200000000000005</v>
      </c>
      <c r="D9" s="5"/>
      <c r="E9" s="5"/>
      <c r="F9" s="317"/>
      <c r="G9" s="322"/>
      <c r="H9" s="5"/>
      <c r="I9" s="50" t="s">
        <v>32</v>
      </c>
      <c r="J9" s="313">
        <f>(100+(J7*4/-6.25))/100</f>
        <v>0.99651069509239421</v>
      </c>
      <c r="K9" s="17"/>
      <c r="L9" s="17"/>
      <c r="N9" s="66">
        <v>0.97</v>
      </c>
      <c r="O9" s="67">
        <v>2.35</v>
      </c>
      <c r="P9" s="68">
        <v>0.97</v>
      </c>
      <c r="Q9" s="69">
        <v>2.1</v>
      </c>
      <c r="R9" s="68">
        <v>0.97</v>
      </c>
      <c r="S9" s="67">
        <v>4.5</v>
      </c>
      <c r="T9" s="1"/>
      <c r="U9" s="1"/>
      <c r="V9" s="1"/>
      <c r="W9" s="1"/>
      <c r="X9" s="1"/>
      <c r="Y9" s="1"/>
      <c r="Z9" s="1"/>
      <c r="AA9" s="1"/>
    </row>
    <row r="10" spans="1:47" ht="12.75" customHeight="1" thickBot="1">
      <c r="A10" s="449" t="s">
        <v>409</v>
      </c>
      <c r="B10" s="450">
        <f>Calculadora!$B$2</f>
        <v>0.86</v>
      </c>
      <c r="C10" s="455">
        <f>C7*(B10-B8)*(B10-B9)/((B7-B8)*(B7-B9))+C8*(B10-B7)*(B10-B9)/((B8-B7)*(B8-B9))+C9*(B10-B7)*(B10-B8)/((B9-B7)*(B9-B8))</f>
        <v>0.68000687076923094</v>
      </c>
      <c r="D10" s="5"/>
      <c r="E10" s="5"/>
      <c r="F10" s="303" t="s">
        <v>7</v>
      </c>
      <c r="G10" s="323">
        <f>IF(Calculadora!$B$2&gt;0,Calculadora!$B$2*M3,Calculadora!$B$2*M4)</f>
        <v>3.8348598040173121</v>
      </c>
      <c r="H10" s="5"/>
      <c r="I10" s="17"/>
      <c r="J10" s="17"/>
      <c r="L10" s="17"/>
      <c r="M10" s="5"/>
      <c r="N10" s="66">
        <v>0.98</v>
      </c>
      <c r="O10" s="67">
        <v>2</v>
      </c>
      <c r="P10" s="68">
        <v>0.98</v>
      </c>
      <c r="Q10" s="69">
        <v>1.5</v>
      </c>
      <c r="R10" s="68">
        <v>0.98</v>
      </c>
      <c r="S10" s="67">
        <v>3.75</v>
      </c>
      <c r="T10" s="1"/>
      <c r="U10" s="1"/>
      <c r="V10" s="1"/>
      <c r="W10" s="1"/>
      <c r="X10" s="1"/>
      <c r="Y10" s="1"/>
      <c r="Z10" s="1"/>
      <c r="AA10" s="1"/>
    </row>
    <row r="11" spans="1:47" ht="12.75" customHeight="1" thickBot="1">
      <c r="A11" s="919"/>
      <c r="B11" s="919"/>
      <c r="C11" s="456"/>
      <c r="D11" s="5"/>
      <c r="E11" s="5"/>
      <c r="F11" s="321"/>
      <c r="G11" s="30"/>
      <c r="H11" s="5"/>
      <c r="I11" s="320" t="s">
        <v>33</v>
      </c>
      <c r="J11" s="32">
        <f>M8+G10-J6</f>
        <v>134.97050484623912</v>
      </c>
      <c r="L11" s="17"/>
      <c r="N11" s="66">
        <v>1</v>
      </c>
      <c r="O11" s="67">
        <v>0</v>
      </c>
      <c r="P11" s="68">
        <v>1</v>
      </c>
      <c r="Q11" s="69">
        <v>0</v>
      </c>
      <c r="R11" s="68">
        <v>1</v>
      </c>
      <c r="S11" s="67">
        <v>0</v>
      </c>
      <c r="T11" s="1"/>
      <c r="U11" s="1"/>
      <c r="V11" s="1"/>
      <c r="W11" s="1"/>
      <c r="X11" s="1"/>
      <c r="Y11" s="1"/>
      <c r="Z11" s="1"/>
      <c r="AA11" s="1"/>
    </row>
    <row r="12" spans="1:47" ht="13.5" customHeight="1" thickBot="1">
      <c r="A12" s="457"/>
      <c r="B12" s="458"/>
      <c r="C12" s="457"/>
      <c r="D12" s="5"/>
      <c r="E12" s="17"/>
      <c r="F12" s="17"/>
      <c r="G12" s="17"/>
      <c r="H12" s="5"/>
      <c r="I12" s="308" t="s">
        <v>34</v>
      </c>
      <c r="J12" s="319">
        <f>M8+G10+J7</f>
        <v>135.93006369583071</v>
      </c>
      <c r="K12" s="42">
        <f>M8+G10</f>
        <v>135.38485980401731</v>
      </c>
      <c r="L12" s="17"/>
      <c r="M12" s="5"/>
      <c r="N12" s="65" t="s">
        <v>11</v>
      </c>
      <c r="O12" s="67">
        <f>LOOKUP(Calculadora!B7,N2:N11:O2:O11)+Calculadora!B1</f>
        <v>131.55000000000001</v>
      </c>
      <c r="P12" s="65" t="s">
        <v>11</v>
      </c>
      <c r="Q12" s="67">
        <f>LOOKUP(Calculadora!B7,P2:P11:Q2:Q11)+Calculadora!B1</f>
        <v>131.55000000000001</v>
      </c>
      <c r="R12" s="65" t="s">
        <v>11</v>
      </c>
      <c r="S12" s="67">
        <f>LOOKUP(Calculadora!B7,R2:R11:S2:S11)+Calculadora!B1</f>
        <v>131.55000000000001</v>
      </c>
      <c r="T12" s="1"/>
      <c r="U12" s="1"/>
      <c r="V12" s="1"/>
      <c r="W12" s="1"/>
      <c r="X12" s="1"/>
      <c r="Y12" s="1"/>
      <c r="Z12" s="1"/>
      <c r="AA12" s="1"/>
    </row>
    <row r="13" spans="1:47" ht="13.5" customHeight="1" thickBot="1">
      <c r="A13" s="453" t="s">
        <v>49</v>
      </c>
      <c r="B13" s="454">
        <v>-1</v>
      </c>
      <c r="C13" s="459">
        <v>0.61499999999999999</v>
      </c>
      <c r="D13" s="5"/>
      <c r="E13" s="17"/>
      <c r="F13" s="17"/>
      <c r="G13" s="17"/>
      <c r="H13" s="5"/>
      <c r="I13" s="5"/>
      <c r="J13" s="5"/>
      <c r="L13" s="17"/>
      <c r="S13" s="5"/>
      <c r="T13" s="1"/>
      <c r="U13" s="1"/>
      <c r="V13" s="1"/>
      <c r="W13" s="1"/>
      <c r="X13" s="1"/>
      <c r="Y13" s="1"/>
      <c r="Z13" s="1"/>
      <c r="AA13" s="1"/>
    </row>
    <row r="14" spans="1:47" ht="13.5" customHeight="1" thickBot="1">
      <c r="A14" s="453" t="s">
        <v>49</v>
      </c>
      <c r="B14" s="454">
        <v>-20</v>
      </c>
      <c r="C14" s="460">
        <f>MEDIAN(C13,C15)</f>
        <v>0.61250000000000004</v>
      </c>
      <c r="E14" s="46" t="s">
        <v>46</v>
      </c>
      <c r="F14" s="46" t="s">
        <v>3</v>
      </c>
      <c r="G14" s="46" t="s">
        <v>13</v>
      </c>
      <c r="I14" s="44" t="s">
        <v>48</v>
      </c>
      <c r="J14" s="44" t="s">
        <v>50</v>
      </c>
      <c r="K14" s="44" t="s">
        <v>51</v>
      </c>
      <c r="S14" s="1"/>
      <c r="T14" s="1"/>
      <c r="U14" s="1"/>
      <c r="V14" s="1"/>
      <c r="W14" s="1"/>
      <c r="X14" s="1"/>
      <c r="Y14" s="1"/>
      <c r="Z14" s="1"/>
      <c r="AA14" s="1"/>
    </row>
    <row r="15" spans="1:47" ht="12.75" customHeight="1" thickBot="1">
      <c r="A15" s="450" t="s">
        <v>49</v>
      </c>
      <c r="B15" s="451">
        <v>-40</v>
      </c>
      <c r="C15" s="461">
        <v>0.61</v>
      </c>
      <c r="D15" s="45" t="s">
        <v>43</v>
      </c>
      <c r="E15" s="171" t="e">
        <f>INDEX(CB!C41:C113,(ROUNDUP(((F15-80)/(20/72))+1,0)),1)</f>
        <v>#VALUE!</v>
      </c>
      <c r="F15" s="48">
        <f>100*(J11-C3)*(J11-D3)/((B3-C3)*(B3-D3))+90*(J11-B3)*(J11-D3)/((C3-B3)*(C3-D3))+80*(J11-B3)*(J11-C3)/((D3-B3)*(D3-C3))</f>
        <v>48.828702852883907</v>
      </c>
      <c r="G15" s="48">
        <f>G5+M7</f>
        <v>1.3962270481979173</v>
      </c>
      <c r="H15" s="45" t="s">
        <v>21</v>
      </c>
      <c r="I15" s="45">
        <f>'INF ...'!E8</f>
        <v>1.8338982207947154</v>
      </c>
      <c r="J15" s="45">
        <v>1.0112000000000001</v>
      </c>
      <c r="K15" s="463">
        <f>C10</f>
        <v>0.68000687076923094</v>
      </c>
      <c r="L15" s="43">
        <f>M7*0.895</f>
        <v>0</v>
      </c>
      <c r="S15" s="1"/>
      <c r="T15" s="1"/>
      <c r="U15" s="1"/>
      <c r="V15" s="1"/>
      <c r="W15" s="1"/>
      <c r="X15" s="1"/>
      <c r="Y15" s="1"/>
      <c r="Z15" s="1"/>
      <c r="AA15" s="1"/>
    </row>
    <row r="16" spans="1:47" ht="12.75" customHeight="1" thickBot="1">
      <c r="A16" s="450" t="s">
        <v>410</v>
      </c>
      <c r="B16" s="451">
        <f>Calculadora!$B$2</f>
        <v>0.86</v>
      </c>
      <c r="C16" s="455">
        <f>C13*(B16-B14)*(B16-B15)/((B13-B14)*(B13-B15))+C14*(B16-B13)*(B16-B15)/((B14-B13)*(B14-B15))+C15*(B16-B13)*(B16-B14)/((B15-B13)*(B15-B14))</f>
        <v>0.61525128198380563</v>
      </c>
      <c r="D16" s="47" t="s">
        <v>44</v>
      </c>
      <c r="E16" s="172" t="e">
        <f>INDEX(CB!C41:C113,(ROUNDUP(((F16-80)/(20/72))+1,0)),1)</f>
        <v>#VALUE!</v>
      </c>
      <c r="F16" s="49">
        <f>100*(J12-C3)*(J12-D3)/((B3-C3)*(B3-D3))+90*(J12-B3)*(J12-D3)/((C3-B3)*(C3-D3))+80*(J12-B3)*(J12-C3)/((D3-B3)*(D3-C3))</f>
        <v>49.138456338397077</v>
      </c>
      <c r="G16" s="49">
        <f>G6+M7</f>
        <v>1.4051187171333994</v>
      </c>
      <c r="H16" s="47" t="s">
        <v>49</v>
      </c>
      <c r="I16" s="47">
        <f>'INF ...'!E10</f>
        <v>-5.9342610399047899</v>
      </c>
      <c r="J16" s="47">
        <v>1.0109999999999999</v>
      </c>
      <c r="K16" s="464">
        <f>C16</f>
        <v>0.61525128198380563</v>
      </c>
      <c r="S16" s="1"/>
      <c r="T16" s="1"/>
      <c r="U16" s="1"/>
      <c r="V16" s="1"/>
      <c r="W16" s="1"/>
      <c r="X16" s="1"/>
      <c r="Y16" s="1"/>
      <c r="Z16" s="1"/>
      <c r="AA16" s="1"/>
    </row>
    <row r="17" spans="1:28" ht="12.75" customHeight="1">
      <c r="M17" s="1"/>
      <c r="N17" s="1"/>
      <c r="O17" s="1"/>
      <c r="T17" s="1"/>
      <c r="U17" s="1"/>
      <c r="V17" s="1"/>
      <c r="W17" s="1"/>
      <c r="X17" s="1"/>
      <c r="Y17" s="1"/>
      <c r="Z17" s="1"/>
      <c r="AA17" s="1"/>
    </row>
    <row r="18" spans="1:28" ht="12.75" customHeight="1" thickBo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T18" s="1"/>
      <c r="U18" s="1"/>
      <c r="V18" s="1"/>
      <c r="W18" s="1"/>
      <c r="X18" s="1"/>
      <c r="Y18" s="1"/>
      <c r="Z18" s="1"/>
      <c r="AA18" s="1"/>
    </row>
    <row r="19" spans="1:28" ht="12.75" customHeight="1" thickBot="1">
      <c r="K19" s="83" t="s">
        <v>350</v>
      </c>
      <c r="M19">
        <f>IF(M26&lt;B21,K20,K22)</f>
        <v>0.25947057309234994</v>
      </c>
      <c r="T19" s="1"/>
      <c r="U19" s="1"/>
      <c r="V19" s="1"/>
      <c r="W19" s="1"/>
      <c r="X19" s="1"/>
      <c r="Y19" s="1"/>
      <c r="Z19" s="1"/>
      <c r="AA19" s="1"/>
    </row>
    <row r="20" spans="1:28" ht="12.75" customHeight="1" thickBot="1">
      <c r="A20" s="308" t="s">
        <v>17</v>
      </c>
      <c r="B20" s="820">
        <v>1</v>
      </c>
      <c r="C20" s="814">
        <v>0.9</v>
      </c>
      <c r="D20" s="821">
        <v>0.8</v>
      </c>
      <c r="E20" s="806">
        <v>0.7</v>
      </c>
      <c r="F20" s="13" t="s">
        <v>18</v>
      </c>
      <c r="G20" s="9"/>
      <c r="H20" s="5"/>
      <c r="I20" s="8" t="s">
        <v>1355</v>
      </c>
      <c r="J20" s="10"/>
      <c r="K20" s="901">
        <f>B22*(M26-C21)*(M26-D21)*(M26-E21)*(M26-B24)*(M26-C24)*(M26-D24)*(M26-E24)/((B21-C21)*(B21-D21)*(B21-E21)*(B21-B24)*(B21-C24)*(B21-D24)*(B21-E24))+C22*(M26-B21)*(M26-D21)*(M26-E21)*(M26-B24)*(M26-C24)*(M26-D24)*(M26-E24)/((C21-B21)*(C21-D21)*(C21-E21)*(C21-B24)*(C21-C24)*(C21-D24)*(C21-E24))+D22*(M26-B21)*(M26-C21)*(M26-E21)*(M26-B24)*(M26-C24)*(M26-D24)*(M26-E24)/((D21-B21)*(D21-C21)*(D21-E21)*(D21-B24)*(D21-C24)*(D21-D24)*(D21-E24))+E22*(M26-B21)*(M26-C21)*(M26-D21)*(M26-B24)*(M26-C24)*(M26-D24)*(M26-E24)/((E21-B21)*(E21-C21)*(E21-D21)*(E21-B24)*(E21-C24)*(E21-D24)*(E21-E24))+B25*(M26-B21)*(M26-C21)*(M26-D21)*(M26-E21)*(M26-C24)*(M26-D24)*(M26-E24)/((B24-B21)*(B24-C21)*(B24-D21)*(B24-E21)*(B24-C24)*(B24-D24)*(B24-E24))+C25*(M26-B21)*(M26-C21)*(M26-D21)*(M26-E21)*(M26-B24)*(M26-D24)*(M26-E24)/((C24-B21)*(C24-C21)*(C24-D21)*(C24-E21)*(C24-B24)*(C24-D24)*(C24-E24))+D25*(M26-B21)*(M26-C21)*(M26-D21)*(M26-E21)*(M26-B24)*(M26-C24)*(M26-E24)/((D24-B21)*(D24-C21)*(D24-D21)*(D24-E21)*(D24-B24)*(D24-C24)*(D24-E24))+E25*(M26-B21)*(M26-C21)*(M26-D21)*(M26-E21)*(M26-B24)*(M26-C24)*(M26-D24)/((E24-B21)*(E24-C21)*(E24-D21)*(E24-E21)*(E24-B24)*(E24-C24)*(E24-D24))</f>
        <v>0.25947057309234994</v>
      </c>
      <c r="L20" s="313" t="s">
        <v>18</v>
      </c>
      <c r="M20" s="900">
        <f>IF(M26&gt;(D21-0.0001),K22,K20)</f>
        <v>0.25947057309234994</v>
      </c>
      <c r="N20">
        <f>B22*(M26-C21)*(M26-D21)/((B21-C21)*(B21-D21))+C22*(M26-B21)*(M26-D21)/((C21-B21)*(C21-D21))+D22*(M26-B21)*(M26-C21)/((D21-B21)*(D21-C21))</f>
        <v>0.40078112348178108</v>
      </c>
      <c r="O20">
        <f>A25*(M26-B21)*(M26-C21)/((A24-B21)*(A24-C21))+B22*(M26-A24)*(M26-C21)/((B21-A24)*(B21-C21))+C22*(M26-A24)*(M26-B21)/((C21-A24)*(C21-B21))</f>
        <v>1.044073417917641</v>
      </c>
      <c r="T20" s="1"/>
      <c r="U20" s="1"/>
      <c r="V20" s="1"/>
      <c r="W20" s="1"/>
      <c r="X20" s="1"/>
      <c r="Y20" s="1"/>
      <c r="Z20" s="1"/>
      <c r="AA20" s="1"/>
    </row>
    <row r="21" spans="1:28" ht="12.75" customHeight="1" thickBot="1">
      <c r="A21" s="818" t="s">
        <v>8</v>
      </c>
      <c r="B21" s="817">
        <v>249.7</v>
      </c>
      <c r="C21" s="817">
        <v>215.7</v>
      </c>
      <c r="D21" s="817">
        <v>183.4</v>
      </c>
      <c r="E21" s="817">
        <v>153.69999999999999</v>
      </c>
      <c r="F21" s="83" t="s">
        <v>20</v>
      </c>
      <c r="G21" s="14">
        <f>M20*$AO$2*Calculadora!$B$3</f>
        <v>0.98708471730526937</v>
      </c>
      <c r="H21" s="5"/>
      <c r="I21" s="317"/>
      <c r="J21" s="857"/>
      <c r="K21" s="52" t="s">
        <v>1352</v>
      </c>
      <c r="L21" s="375" t="s">
        <v>21</v>
      </c>
      <c r="M21" s="51">
        <f>T27*POWER((1+(K33)),B21-M26)</f>
        <v>2.6506555409612145</v>
      </c>
      <c r="N21" s="5"/>
      <c r="O21" s="5"/>
      <c r="V21" s="914" t="s">
        <v>1348</v>
      </c>
      <c r="W21" s="915"/>
      <c r="X21" s="916"/>
    </row>
    <row r="22" spans="1:28" ht="12.75" customHeight="1" thickBot="1">
      <c r="A22" s="819" t="s">
        <v>18</v>
      </c>
      <c r="B22" s="817">
        <v>1.07</v>
      </c>
      <c r="C22" s="817">
        <v>0.70299999999999996</v>
      </c>
      <c r="D22" s="817">
        <v>0.4849</v>
      </c>
      <c r="E22" s="817">
        <v>0.315</v>
      </c>
      <c r="F22" s="52" t="s">
        <v>22</v>
      </c>
      <c r="G22" s="328">
        <f>IF(G28&gt;0,G21*M23,G21*M24)</f>
        <v>0.9712098509294681</v>
      </c>
      <c r="H22" s="5"/>
      <c r="I22" s="331" t="s">
        <v>23</v>
      </c>
      <c r="J22" s="858">
        <f>M20*Calculadora!$B$3*$AO$1</f>
        <v>0.32072326650297239</v>
      </c>
      <c r="K22" s="86">
        <f>B22*(M26-C21)*(M26-D21)/((B21-C21)*(B21-D21))+C22*(M26-B21)*(M26-D21)/((C21-B21)*(C21-D21))+D22*(M26-B21)*(M26-C21)/((D21-B21)*(D21-C21))</f>
        <v>0.40078112348178108</v>
      </c>
      <c r="L22" s="375" t="s">
        <v>24</v>
      </c>
      <c r="M22" s="51">
        <f>T34*POWER(1+(K34),(B21-M26))</f>
        <v>2.3386394804692925</v>
      </c>
      <c r="N22" s="5"/>
      <c r="O22" s="5"/>
      <c r="R22" s="822" t="s">
        <v>21</v>
      </c>
      <c r="S22" s="823">
        <v>1</v>
      </c>
      <c r="T22" s="893">
        <v>0.72</v>
      </c>
      <c r="V22" s="825" t="s">
        <v>135</v>
      </c>
      <c r="W22" s="826" t="s">
        <v>1349</v>
      </c>
      <c r="X22" s="827" t="s">
        <v>1350</v>
      </c>
      <c r="Z22" s="822" t="s">
        <v>21</v>
      </c>
      <c r="AA22" s="823">
        <v>1</v>
      </c>
      <c r="AB22" s="824">
        <v>1.366E-2</v>
      </c>
    </row>
    <row r="23" spans="1:28" ht="13.5" customHeight="1" thickBot="1">
      <c r="A23" s="816" t="s">
        <v>1347</v>
      </c>
      <c r="B23" s="851">
        <v>0.6</v>
      </c>
      <c r="C23" s="813">
        <v>0.5</v>
      </c>
      <c r="D23" s="851">
        <v>0.4</v>
      </c>
      <c r="E23" s="814">
        <v>0.3</v>
      </c>
      <c r="F23" s="807" t="s">
        <v>25</v>
      </c>
      <c r="G23" s="327">
        <f>G22*J26</f>
        <v>0.96914646660155346</v>
      </c>
      <c r="H23" s="5"/>
      <c r="I23" s="329"/>
      <c r="J23" s="330"/>
      <c r="K23" s="17"/>
      <c r="L23" s="50" t="s">
        <v>26</v>
      </c>
      <c r="M23" s="51">
        <f>IF((M26&gt;0),((100+(G28/-J33))/100))</f>
        <v>0.98391742259049508</v>
      </c>
      <c r="N23" s="5"/>
      <c r="O23" s="5"/>
      <c r="R23" s="822" t="s">
        <v>21</v>
      </c>
      <c r="S23" s="823">
        <v>5</v>
      </c>
      <c r="T23" s="894">
        <v>0.72199999999999998</v>
      </c>
      <c r="V23" s="852">
        <v>100</v>
      </c>
      <c r="W23" s="853">
        <v>263.39999999999998</v>
      </c>
      <c r="X23" s="854">
        <v>1.018</v>
      </c>
      <c r="Z23" s="822" t="s">
        <v>21</v>
      </c>
      <c r="AA23" s="823">
        <v>5</v>
      </c>
      <c r="AB23" s="824">
        <v>1.388E-2</v>
      </c>
    </row>
    <row r="24" spans="1:28" ht="12.75" customHeight="1" thickBot="1">
      <c r="A24" s="815">
        <v>263.39999999999998</v>
      </c>
      <c r="B24" s="87">
        <v>127.7</v>
      </c>
      <c r="C24" s="87">
        <v>104.5</v>
      </c>
      <c r="D24" s="87">
        <v>83.2</v>
      </c>
      <c r="E24" s="812">
        <v>63.8</v>
      </c>
      <c r="F24" s="808" t="s">
        <v>27</v>
      </c>
      <c r="G24" s="25">
        <f>G22/J27</f>
        <v>0.9735975273342562</v>
      </c>
      <c r="H24" s="5"/>
      <c r="I24" s="311" t="s">
        <v>28</v>
      </c>
      <c r="J24" s="312">
        <f>$AT$1*Calculadora!$B$3*M20*1*(1-(G28*0.016))</f>
        <v>0.3090255203112075</v>
      </c>
      <c r="K24" s="17"/>
      <c r="L24" s="50" t="s">
        <v>29</v>
      </c>
      <c r="M24" s="51">
        <f>IF((M26&gt;0),((100+(G28/-J34))/100))</f>
        <v>0.98918225974166563</v>
      </c>
      <c r="N24" s="5"/>
      <c r="O24" s="5"/>
      <c r="R24" s="822" t="s">
        <v>21</v>
      </c>
      <c r="S24" s="823">
        <v>10</v>
      </c>
      <c r="T24" s="895">
        <v>0.72399999999999998</v>
      </c>
      <c r="V24" s="852">
        <f>V23-10</f>
        <v>90</v>
      </c>
      <c r="W24" s="855">
        <v>249.5</v>
      </c>
      <c r="X24" s="856">
        <v>0.70299999999999996</v>
      </c>
      <c r="Z24" s="822" t="s">
        <v>21</v>
      </c>
      <c r="AA24" s="823">
        <v>10</v>
      </c>
      <c r="AB24" s="824">
        <v>1.4080000000000001E-2</v>
      </c>
    </row>
    <row r="25" spans="1:28" ht="12.75" customHeight="1" thickBot="1">
      <c r="A25" s="816">
        <v>1.3</v>
      </c>
      <c r="B25" s="809">
        <v>0.25</v>
      </c>
      <c r="C25" s="810">
        <v>0.17499999999999999</v>
      </c>
      <c r="D25" s="809">
        <v>0.11600000000000001</v>
      </c>
      <c r="E25" s="811">
        <v>8.3000000000000004E-2</v>
      </c>
      <c r="F25" s="5"/>
      <c r="G25" s="5"/>
      <c r="H25" s="5"/>
      <c r="I25" s="300" t="s">
        <v>30</v>
      </c>
      <c r="J25" s="26">
        <f>AT1*Calculadora!B3*M20*1.24*(1-(G28*0.016))</f>
        <v>0.38319164518589732</v>
      </c>
      <c r="K25" s="17"/>
      <c r="L25" s="52" t="s">
        <v>52</v>
      </c>
      <c r="M25" s="52">
        <f>M20/4*Calculadora!$B$5</f>
        <v>0</v>
      </c>
      <c r="N25" s="5"/>
      <c r="O25" s="5"/>
      <c r="R25" s="828" t="s">
        <v>21</v>
      </c>
      <c r="S25" s="829">
        <v>15</v>
      </c>
      <c r="T25" s="896">
        <v>0.73799999999999999</v>
      </c>
      <c r="V25" s="852">
        <f t="shared" ref="V25:V33" si="0">V24-10</f>
        <v>80</v>
      </c>
      <c r="W25" s="855">
        <v>215.6</v>
      </c>
      <c r="X25" s="856">
        <v>0.47399999999999998</v>
      </c>
      <c r="Z25" s="828" t="s">
        <v>21</v>
      </c>
      <c r="AA25" s="829">
        <v>15</v>
      </c>
      <c r="AB25" s="830">
        <v>1.4279999999999999E-2</v>
      </c>
    </row>
    <row r="26" spans="1:28" ht="12.75" customHeight="1" thickBot="1">
      <c r="C26" s="5"/>
      <c r="E26" s="5"/>
      <c r="F26" s="8" t="s">
        <v>0</v>
      </c>
      <c r="G26" s="5"/>
      <c r="H26" s="5"/>
      <c r="I26" s="52" t="s">
        <v>31</v>
      </c>
      <c r="J26" s="313">
        <f>(100+(J24*2.75/-4))/100</f>
        <v>0.99787544954786045</v>
      </c>
      <c r="K26" s="17"/>
      <c r="L26" s="52" t="s">
        <v>53</v>
      </c>
      <c r="M26" s="52">
        <f>CC!$Q$12</f>
        <v>131.55000000000001</v>
      </c>
      <c r="R26" s="822" t="s">
        <v>21</v>
      </c>
      <c r="S26" s="823">
        <v>20</v>
      </c>
      <c r="T26" s="897">
        <v>0.745</v>
      </c>
      <c r="V26" s="852">
        <f t="shared" si="0"/>
        <v>70</v>
      </c>
      <c r="W26" s="855">
        <v>183.4</v>
      </c>
      <c r="X26" s="856">
        <v>0.315</v>
      </c>
      <c r="Z26" s="822" t="s">
        <v>21</v>
      </c>
      <c r="AA26" s="823">
        <v>20</v>
      </c>
      <c r="AB26" s="824">
        <v>1.448E-2</v>
      </c>
    </row>
    <row r="27" spans="1:28" ht="13.5" customHeight="1" thickBot="1">
      <c r="A27" s="5"/>
      <c r="B27" s="5"/>
      <c r="C27" s="5"/>
      <c r="D27" s="5"/>
      <c r="E27" s="5"/>
      <c r="F27" s="317"/>
      <c r="G27" s="322"/>
      <c r="H27" s="5"/>
      <c r="I27" s="310" t="s">
        <v>32</v>
      </c>
      <c r="J27" s="28">
        <f>(100+(J25*4/-6.25))/100</f>
        <v>0.99754757347081024</v>
      </c>
      <c r="K27" s="17"/>
      <c r="R27" s="822" t="s">
        <v>1351</v>
      </c>
      <c r="S27" s="823">
        <f>Calculadora!$B$2</f>
        <v>0.86</v>
      </c>
      <c r="T27" s="831">
        <f>T22*(S27-S23)*(S27-S24)*(S27-S25)*(S27-S26)/((S22-S23)*(S22-S24)*(S22-S25)*(S22-S26))+T23*(S27-S22)*(S27-S24)*(S27-S25)*(S27-S26)/((S23-S22)*(S23-S24)*(S23-S25)*(S23-S26))+T24*(S27-S22)*(S27-S23)*(S27-S25)*(S27-S26)/((S24-S22)*(S24-S23)*(S24-S25)*(S24-S26))+T25*(S27-S22)*(S27-S23)*(S27-S24)*(S27-S26)/((S25-S22)*(S25-S23)*(S25-S24)*(S25-S26))+T26*(S27-S22)*(S27-S23)*(S27-S24)*(S27-S25)/((S26-S22)*(S26-S23)*(S26-S24)*(S26-S25))</f>
        <v>0.71965794972966723</v>
      </c>
      <c r="V27" s="852">
        <f t="shared" si="0"/>
        <v>60</v>
      </c>
      <c r="W27" s="855">
        <v>153.69999999999999</v>
      </c>
      <c r="X27" s="856">
        <v>0.25</v>
      </c>
      <c r="Z27" s="822" t="s">
        <v>409</v>
      </c>
      <c r="AA27" s="823">
        <f>Calculadora!$B$2</f>
        <v>0.86</v>
      </c>
      <c r="AB27" s="832">
        <f>AB22*(AA27-AA23)*(AA27-AA24)*(AA27-AA25)*(AA27-AA26)/((AA22-AA23)*(AA22-AA24)*(AA22-AA25)*(AA22-AA26))+AB23*(AA27-AA22)*(AA27-AA24)*(AA27-AA25)*(AA27-AA26)/((AA23-AA22)*(AA23-AA24)*(AA23-AA25)*(AA23-AA26))+AB24*(AA27-AA22)*(AA27-AA23)*(AA27-AA25)*(AA27-AA26)/((AA24-AA22)*(AA24-AA23)*(AA24-AA25)*(AA24-AA26))+AB25*(AA27-AA22)*(AA27-AA23)*(AA27-AA24)*(AA27-AA26)/((AA25-AA22)*(AA25-AA23)*(AA25-AA24)*(AA25-AA26))+AB26*(AA27-AA22)*(AA27-AA23)*(AA27-AA24)*(AA27-AA25)/((AA26-AA22)*(AA26-AA23)*(AA26-AA24)*(AA26-AA25))</f>
        <v>1.3650233996189471E-2</v>
      </c>
    </row>
    <row r="28" spans="1:28" ht="13.5" customHeight="1" thickBot="1">
      <c r="A28" s="5"/>
      <c r="B28" s="5"/>
      <c r="C28" s="5"/>
      <c r="D28" s="5"/>
      <c r="E28" s="5"/>
      <c r="F28" s="311" t="s">
        <v>7</v>
      </c>
      <c r="G28" s="312">
        <f>IF(Calculadora!$B$2&gt;0,Calculadora!$B$2*M21,Calculadora!$B$2*M22)</f>
        <v>2.2795637652266443</v>
      </c>
      <c r="H28" s="5"/>
      <c r="I28" s="17"/>
      <c r="J28" s="17"/>
      <c r="M28" s="83" t="s">
        <v>9</v>
      </c>
      <c r="N28" s="335"/>
      <c r="O28" s="40"/>
      <c r="R28" s="833" t="s">
        <v>49</v>
      </c>
      <c r="S28" s="454">
        <v>-1</v>
      </c>
      <c r="T28" s="460">
        <v>0.68200000000000005</v>
      </c>
      <c r="V28" s="852">
        <f t="shared" si="0"/>
        <v>50</v>
      </c>
      <c r="W28" s="855">
        <v>127.3</v>
      </c>
      <c r="X28" s="856">
        <v>0.17499999999999999</v>
      </c>
    </row>
    <row r="29" spans="1:28" ht="13.5" customHeight="1" thickBot="1">
      <c r="A29" s="5"/>
      <c r="B29" s="5"/>
      <c r="C29" s="5"/>
      <c r="D29" s="5"/>
      <c r="E29" s="5"/>
      <c r="F29" s="902"/>
      <c r="G29" s="30"/>
      <c r="H29" s="5"/>
      <c r="I29" s="352" t="s">
        <v>33</v>
      </c>
      <c r="J29" s="351">
        <f>M26+G28-J24</f>
        <v>133.52053824491546</v>
      </c>
      <c r="K29" s="876">
        <f>M26+G28</f>
        <v>133.82956376522665</v>
      </c>
      <c r="M29" s="84">
        <f>MOD(F33,20/72)</f>
        <v>0.13058068053701177</v>
      </c>
      <c r="N29" s="84">
        <f>MOD(F34,20/72)</f>
        <v>0.12823511397077147</v>
      </c>
      <c r="O29" s="41"/>
      <c r="R29" s="833" t="s">
        <v>49</v>
      </c>
      <c r="S29" s="454">
        <v>-10</v>
      </c>
      <c r="T29" s="460">
        <v>0.67</v>
      </c>
      <c r="V29" s="852">
        <f t="shared" si="0"/>
        <v>40</v>
      </c>
      <c r="W29" s="855">
        <v>104.5</v>
      </c>
      <c r="X29" s="856">
        <v>0.11600000000000001</v>
      </c>
      <c r="Z29" s="833" t="s">
        <v>49</v>
      </c>
      <c r="AA29" s="454">
        <v>-1</v>
      </c>
      <c r="AB29" s="834">
        <v>1.193E-2</v>
      </c>
    </row>
    <row r="30" spans="1:28" ht="12.75" customHeight="1" thickBot="1">
      <c r="B30" s="859">
        <f>IF(M26&gt;205,B31*1.023,B31)</f>
        <v>0.8128885266632585</v>
      </c>
      <c r="C30" s="860">
        <f>C31*0.974</f>
        <v>0.87572435343337141</v>
      </c>
      <c r="D30" s="861"/>
      <c r="E30" s="17"/>
      <c r="F30" s="336">
        <f>100*(J29-C21)*(J29-D21)*(J29-E21)/((B21-C21)*(B21-D21)*(B21-E21))+90*(J29-B21)*(J29-D21)*(J29-E21)/((C21-B21)*(C21-D21)*(C21-E21))+80*(J29-B21)*(J29-C21)*(J29-E21)/((D21-B21)*(D21-C21)*(D21-E21))+70*(J29-B21)*(J29-C21)*(J29-D21)/((E21-B21)*(E21-C21)*(E21-D21))</f>
        <v>62.590086580500127</v>
      </c>
      <c r="G30" s="903">
        <f>100*(J29-C21)*(J29-D21)*(J29-E21)*(J29-B24)*(J29-C24)*(J29-D24)*(J29-E24)/((B21-C21)*(B21-D21)*(B21-E21)*(B21-B24)*(B21-C24)*(B21-D24)*(B21-E24))+90*(J29-B21)*(J29-D21)*(J29-E21)*(J29-B24)*(J29-C24)*(J29-D24)*(J29-E24)/((C21-B21)*(C21-D21)*(C21-E21)*(C21-B24)*(C21-C24)*(C21-D24)*(C21-E24))+80*(J29-B21)*(J29-C21)*(J29-E21)*(J29-B24)*(J29-C24)*(J29-D24)*(J29-E24)/((D21-B21)*(D21-C21)*(D21-E21)*(D21-B24)*(D21-C24)*(D21-D24)*(D21-E24))+70*(J29-B21)*(J29-C21)*(J29-D21)*(J29-B24)*(J29-C24)*(J29-D24)*(J29-E24)/((E21-B21)*(E21-C21)*(E21-D21)*(E21-B24)*(E21-C24)*(E21-D24)*(E21-E24))+60*(J29-B21)*(J29-C21)*(J29-D21)*(J29-E21)*(J29-C24)*(J29-D24)*(J29-E24)/((B24-B21)*(B24-C21)*(B24-D21)*(B24-E21)*(B24-C24)*(B24-D24)*(B24-E24))+50*(J29-B21)*(J29-C21)*(J29-D21)*(J29-E21)*(J29-B24)*(J29-D24)*(J29-E24)/((C24-B21)*(C24-C21)*(C24-D21)*(C24-E21)*(C24-B24)*(C24-D24)*(C24-E24))+40*(J29-B21)*(J29-C21)*(J29-D21)*(J29-E21)*(J29-B24)*(J29-C24)*(J29-E24)/((D24-B21)*(D24-C21)*(D24-D21)*(D24-E21)*(D24-B24)*(D24-C24)*(D24-E24))+30*(J29-B21)*(J29-C21)*(J29-D21)*(J29-E21)*(J29-B24)*(J29-C24)*(J29-D24)/((E24-B21)*(E24-C21)*(E24-D21)*(E24-E21)*(E24-B24)*(E24-C24)*(E24-D24))</f>
        <v>62.352802902759237</v>
      </c>
      <c r="H30" s="5"/>
      <c r="I30" s="301" t="s">
        <v>34</v>
      </c>
      <c r="J30" s="33">
        <f>M26+G28+J25</f>
        <v>134.21275541041254</v>
      </c>
      <c r="M30" s="84">
        <f>M29/(20/72)</f>
        <v>0.47009044993324234</v>
      </c>
      <c r="N30" s="84">
        <f>N29/(20/72)</f>
        <v>0.46164641029477727</v>
      </c>
      <c r="O30" s="41"/>
      <c r="R30" s="833" t="s">
        <v>49</v>
      </c>
      <c r="S30" s="454">
        <v>-20</v>
      </c>
      <c r="T30" s="460">
        <v>0.66</v>
      </c>
      <c r="U30" s="1"/>
      <c r="V30" s="852">
        <f t="shared" si="0"/>
        <v>30</v>
      </c>
      <c r="W30" s="855">
        <v>63.8</v>
      </c>
      <c r="X30" s="856">
        <v>8.3000000000000004E-2</v>
      </c>
      <c r="Z30" s="833" t="s">
        <v>49</v>
      </c>
      <c r="AA30" s="454">
        <v>-10</v>
      </c>
      <c r="AB30" s="834">
        <v>1.18E-2</v>
      </c>
    </row>
    <row r="31" spans="1:28" ht="12.75" customHeight="1" thickBot="1">
      <c r="A31" s="862" t="s">
        <v>1353</v>
      </c>
      <c r="B31" s="863">
        <f>1.2*(M26-W25)*(M26-W27)*(M26-W29)*(M26-W31)*(M26-W33)/((W23-W25)*(W23-W27)*(W23-W29)*(W23-W31)*(W23-W33))+0.908*(M26-W23)*(M26-W27)*(M26-W29)*(M26-W31)*(M26-W33)/((W25-W23)*(W25-W27)*(W25-W29)*(W25-W31)*(W25-W33))+0.837*(M26-W23)*(M26-W25)*(M26-W29)*(M26-W31)*(M26-W33)/((W27-W23)*(W27-W25)*(W27-W29)*(W27-W31)*(W27-W33))+0.784*(M26-W23)*(M26-W25)*(M26-W27)*(M26-W31)*(M26-W33)/((W29-W23)*(W29-W25)*(W29-W27)*(W29-W31)*(W29-W33))+0.766*(M26-W23)*(M26-W25)*(M26-W27)*(M26-W29)*(M26-W33)/((W31-W23)*(W31-W25)*(W31-W27)*(W31-W29)*(W31-W33))+0.74*(M26-W23)*(M26-W25)*(M26-W27)*(M26-W29)*(M26-W31)/((W33-W23)*(W33-W25)*(W33-W27)*(W33-W29)*(W33-W31))</f>
        <v>0.8128885266632585</v>
      </c>
      <c r="C31" s="859">
        <f>1.04*(M26-W25)*(M26-W27)*(M26-W29)*(M26-W31)*(M26-W33)/((W23-W25)*(W23-W27)*(W23-W29)*(W23-W31)*(W23-W33))+0.916*(M26-W23)*(M26-W27)*(M26-W29)*(M26-W31)*(M26-W33)/((W25-W23)*(W25-W27)*(W25-W29)*(W25-W31)*(W25-W33))+0.915*(M26-W23)*(M26-W25)*(M26-W29)*(M26-W31)*(M26-W33)/((W27-W23)*(W27-W25)*(W27-W29)*(W27-W31)*(W27-W33))+0.874*(M26-W23)*(M26-W25)*(M26-W27)*(M26-W31)*(M26-W33)/((W29-W23)*(W29-W25)*(W29-W27)*(W29-W31)*(W29-W33))+0.85*(M26-W23)*(M26-W25)*(M26-W27)*(M26-W29)*(M26-W33)/((W31-W23)*(W31-W25)*(W31-W27)*(W31-W29)*(W31-W33))+0.82*(M26-W23)*(M26-W25)*(M26-W27)*(M26-W29)*(M26-W31)/((W33-W23)*(W33-W25)*(W33-W27)*(W33-W29)*(W33-W31))</f>
        <v>0.89910097888436491</v>
      </c>
      <c r="D31" s="859">
        <f>1.1*(M26-W25)*(M26-W27)*(M26-W29)*(M26-W31)*(M26-W33)/((W23-W25)*(W23-W27)*(W23-W29)*(W23-W31)*(W23-W33))+0.9*(M26-W23)*(M26-W27)*(M26-W29)*(M26-W31)*(M26-W33)/((W25-W23)*(W25-W27)*(W25-W29)*(W25-W31)*(W25-W33))+0.842*(M26-W23)*(M26-W25)*(M26-W29)*(M26-W31)*(M26-W33)/((W27-W23)*(W27-W25)*(W27-W29)*(W27-W31)*(W27-W33))+0.821*(M26-W23)*(M26-W25)*(M26-W27)*(M26-W31)*(M26-W33)/((W29-W23)*(W29-W25)*(W29-W27)*(W29-W31)*(W29-W33))+0.79*(M26-W23)*(M26-W25)*(M26-W27)*(M26-W29)*(M26-W33)/((W31-W23)*(W31-W25)*(W31-W27)*(W31-W29)*(W31-W33))+0.76*(M26-W23)*(M26-W25)*(M26-W27)*(M26-W29)*(M26-W31)/((W33-W23)*(W33-W25)*(W33-W27)*(W33-W29)*(W33-W31))</f>
        <v>0.83323115650110435</v>
      </c>
      <c r="F31" s="336">
        <f>100*(J30-C21)*(J30-D21)*(J30-E21)/((B21-C21)*(B21-D21)*(B21-E21))+90*(J30-B21)*(J30-D21)*(J30-E21)/((C21-B21)*(C21-D21)*(C21-E21))+80*(J30-B21)*(J30-C21)*(J30-E21)/((D21-B21)*(D21-C21)*(D21-E21))+70*(J30-B21)*(J30-C21)*(J30-D21)/((E21-B21)*(E21-C21)*(E21-D21))</f>
        <v>62.853925374158649</v>
      </c>
      <c r="G31" s="904">
        <f>100*(J30-C21)*(J30-D21)*(J30-E21)*(J30-B24)*(J30-C24)*(J30-D24)*(J30-E24)/((B21-C21)*(B21-D21)*(B21-E21)*(B21-B24)*(B21-C24)*(B21-D24)*(B21-E24))+90*(J30-B21)*(J30-D21)*(J30-E21)*(J30-B24)*(J30-C24)*(J30-D24)*(J30-E24)/((C21-B21)*(C21-D21)*(C21-E21)*(C21-B24)*(C21-C24)*(C21-D24)*(C21-E24))+80*(J30-B21)*(J30-C21)*(J30-E21)*(J30-B24)*(J30-C24)*(J30-D24)*(J30-E24)/((D21-B21)*(D21-C21)*(D21-E21)*(D21-B24)*(D21-C24)*(D21-D24)*(D21-E24))+70*(J30-B21)*(J30-C21)*(J30-D21)*(J30-B24)*(J30-C24)*(J30-D24)*(J30-E24)/((E21-B21)*(E21-C21)*(E21-D21)*(E21-B24)*(E21-C24)*(E21-D24)*(E21-E24))+60*(J30-B21)*(J30-C21)*(J30-D21)*(J30-E21)*(J30-C24)*(J30-D24)*(J30-E24)/((B24-B21)*(B24-C21)*(B24-D21)*(B24-E21)*(B24-C24)*(B24-D24)*(B24-E24))+50*(J30-B21)*(J30-C21)*(J30-D21)*(J30-E21)*(J30-B24)*(J30-D24)*(J30-E24)/((C24-B21)*(C24-C21)*(C24-D21)*(C24-E21)*(C24-B24)*(C24-D24)*(C24-E24))+40*(J30-B21)*(J30-C21)*(J30-D21)*(J30-E21)*(J30-B24)*(J30-C24)*(J30-E24)/((D24-B21)*(D24-C21)*(D24-D21)*(D24-E21)*(D24-B24)*(D24-C24)*(D24-E24))+30*(J30-B21)*(J30-C21)*(J30-D21)*(J30-E21)*(J30-B24)*(J30-C24)*(J30-D24)/((E24-B21)*(E24-C21)*(E24-D21)*(E24-E21)*(E24-B24)*(E24-C24)*(E24-D24))</f>
        <v>62.628235113970774</v>
      </c>
      <c r="M31" s="84">
        <f>IF(M30&lt;0.288,ROUNDDOWN(M30,0),ROUNDUP(M30,0))</f>
        <v>1</v>
      </c>
      <c r="N31" s="84">
        <f>IF(N30&lt;0.288,ROUNDDOWN(N30,0),ROUNDUP(N30,0))</f>
        <v>1</v>
      </c>
      <c r="O31" s="41"/>
      <c r="R31" s="833" t="s">
        <v>49</v>
      </c>
      <c r="S31" s="454">
        <v>-30</v>
      </c>
      <c r="T31" s="460">
        <v>0.65</v>
      </c>
      <c r="V31" s="835">
        <f>V30-10</f>
        <v>20</v>
      </c>
      <c r="W31" s="836">
        <v>50.9</v>
      </c>
      <c r="X31" s="837">
        <v>4.3999999999999997E-2</v>
      </c>
      <c r="Z31" s="833" t="s">
        <v>49</v>
      </c>
      <c r="AA31" s="454">
        <v>-20</v>
      </c>
      <c r="AB31" s="834">
        <v>1.166E-2</v>
      </c>
    </row>
    <row r="32" spans="1:28" ht="12.75" customHeight="1" thickBot="1">
      <c r="A32" s="864" t="s">
        <v>1354</v>
      </c>
      <c r="B32" s="865">
        <f>1*(M26-W25)*(M26-W27)*(M26-W29)*(M26-W31)*(M26-W33)/((W23-W25)*(W23-W27)*(W23-W29)*(W23-W31)*(W23-W33))+0.9*(M26-W23)*(M26-W27)*(M26-W29)*(M26-W31)*(M26-W33)/((W25-W23)*(W25-W27)*(W25-W29)*(W25-W31)*(W25-W33))+0.797*(M26-W23)*(M26-W25)*(M26-W29)*(M26-W31)*(M26-W33)/((W27-W23)*(W27-W25)*(W27-W29)*(W27-W31)*(W27-W33))+0.705*(M26-W23)*(M26-W25)*(M26-W27)*(M26-W31)*(M26-W33)/((W29-W23)*(W29-W25)*(W29-W27)*(W29-W31)*(W29-W33))+0.6*(M26-W23)*(M26-W25)*(M26-W27)*(M26-W29)*(M26-W33)/((W31-W23)*(W31-W25)*(W31-W27)*(W31-W29)*(W31-W33))+0.5*(M26-W23)*(M26-W25)*(M26-W27)*(M26-W29)*(M26-W31)/((W33-W23)*(W33-W25)*(W33-W27)*(W33-W29)*(W33-W31))</f>
        <v>0.75678625665119814</v>
      </c>
      <c r="C32" s="866">
        <f>1*(M26-W25)*(M26-W27)*(M26-W29)*(M26-W31)*(M26-W33)/((W23-W25)*(W23-W27)*(W23-W29)*(W23-W31)*(W23-W33))+0.908*(M26-W23)*(M26-W27)*(M26-W29)*(M26-W31)*(M26-W33)/((W25-W23)*(W25-W27)*(W25-W29)*(W25-W31)*(W25-W33))+0.75*(M26-W23)*(M26-W25)*(M26-W29)*(M26-W31)*(M26-W33)/((W27-W23)*(W27-W25)*(W27-W29)*(W27-W31)*(W27-W33))+0.7*(M26-W23)*(M26-W25)*(M26-W27)*(M26-W31)*(M26-W33)/((W29-W23)*(W29-W25)*(W29-W27)*(W29-W31)*(W29-W33))+0.64*(M26-W23)*(M26-W25)*(M26-W27)*(M26-W29)*(M26-W33)/((W31-W23)*(W31-W25)*(W31-W27)*(W31-W29)*(W31-W33))+0.58*(M26-W23)*(M26-W25)*(M26-W27)*(M26-W29)*(M26-W31)/((W33-W23)*(W33-W25)*(W33-W27)*(W33-W29)*(W33-W31))</f>
        <v>0.7225815010182346</v>
      </c>
      <c r="D32" s="866">
        <f>1.1*(M26-W25)*(M26-W27)*(M26-W29)*(M26-W31)*(M26-W33)/((W23-W25)*(W23-W27)*(W23-W29)*(W23-W31)*(W23-W33))+1*(M26-W23)*(M26-W27)*(M26-W29)*(M26-W31)*(M26-W33)/((W25-W23)*(W25-W27)*(W25-W29)*(W25-W31)*(W25-W33))+0.935*(M26-W23)*(M26-W25)*(M26-W29)*(M26-W31)*(M26-W33)/((W27-W23)*(W27-W25)*(W27-W29)*(W27-W31)*(W27-W33))+0.8*(M26-W23)*(M26-W25)*(M26-W27)*(M26-W31)*(M26-W33)/((W29-W23)*(W29-W25)*(W29-W27)*(W29-W31)*(W29-W33))+0.7*(M26-W23)*(M26-W25)*(M26-W27)*(M26-W29)*(M26-W33)/((W31-W23)*(W31-W25)*(W31-W27)*(W31-W29)*(W31-W33))+0.6*(M26-W23)*(M26-W25)*(M26-W27)*(M26-W29)*(M26-W31)/((W33-W23)*(W33-W25)*(W33-W27)*(W33-W29)*(W33-W31))</f>
        <v>0.87700440337212637</v>
      </c>
      <c r="E32" s="46" t="s">
        <v>46</v>
      </c>
      <c r="F32" s="46" t="s">
        <v>3</v>
      </c>
      <c r="G32" s="46" t="s">
        <v>13</v>
      </c>
      <c r="H32" s="55" t="s">
        <v>47</v>
      </c>
      <c r="J32" s="44" t="s">
        <v>48</v>
      </c>
      <c r="K32" s="44" t="s">
        <v>50</v>
      </c>
      <c r="L32" s="44" t="s">
        <v>51</v>
      </c>
      <c r="M32" s="333"/>
      <c r="N32" s="333"/>
      <c r="O32" s="334"/>
      <c r="R32" s="838" t="s">
        <v>49</v>
      </c>
      <c r="S32" s="451">
        <v>-40</v>
      </c>
      <c r="T32" s="461">
        <v>0.64</v>
      </c>
      <c r="V32" s="835">
        <f t="shared" si="0"/>
        <v>10</v>
      </c>
      <c r="W32" s="836">
        <v>32.9</v>
      </c>
      <c r="X32" s="837">
        <v>3.5000000000000003E-2</v>
      </c>
      <c r="Z32" s="833" t="s">
        <v>49</v>
      </c>
      <c r="AA32" s="454">
        <v>-30</v>
      </c>
      <c r="AB32" s="834">
        <v>1.167E-2</v>
      </c>
    </row>
    <row r="33" spans="1:28" ht="12.75" customHeight="1" thickBot="1">
      <c r="A33" s="5"/>
      <c r="B33" s="5"/>
      <c r="C33" s="5"/>
      <c r="D33" s="45" t="s">
        <v>43</v>
      </c>
      <c r="E33" s="171">
        <f>IF(M31=0,INDEX(Caliper!E111:E363,(ROUNDDOWN(((F33-30)/(20/72)+1),0)),1),INDEX(Caliper!E111:E363,(ROUNDUP(((F33-30)/(20/72))+1,0)),1))</f>
        <v>175.00000000000085</v>
      </c>
      <c r="F33" s="900">
        <f>IF(M26&gt;(E21-0.0001),F30,G30)</f>
        <v>62.352802902759237</v>
      </c>
      <c r="G33" s="48">
        <f>G23+M25</f>
        <v>0.96914646660155346</v>
      </c>
      <c r="H33" s="45">
        <f>N33</f>
        <v>8</v>
      </c>
      <c r="I33" s="53" t="s">
        <v>21</v>
      </c>
      <c r="J33" s="45">
        <f>'INF ...'!J1</f>
        <v>1.4174119652484303</v>
      </c>
      <c r="K33" s="899">
        <f>IF(AND(Calculadora!B2&gt;-0.9,Calculadora!B2&lt;6),B30*AB27,IF(AND(Calculadora!B2&gt;5.99,Calculadora!B2&lt;8.4),D31*AB27,IF(AND(Calculadora!B2&gt;8.39,Calculadora!B2&lt;10),AB27*B30,IF(AND(Calculadora!B2&gt;9.99,Calculadora!B2&lt;14.5),(C30*AB27),IF(AND(Calculadora!B2&gt;14.49,Calculadora!B2&lt;16.9),C31*AB27,IF(AND(Calculadora!B2&gt;16.89,Calculadora!B2&lt;30),(C31*1.008)*AB27))))))</f>
        <v>1.1096118601771182E-2</v>
      </c>
      <c r="L33" s="463"/>
      <c r="M33" s="52" t="s">
        <v>4</v>
      </c>
      <c r="N33" s="52">
        <f>IF(M29&lt;0.08,9,N34)</f>
        <v>8</v>
      </c>
      <c r="O33" s="313">
        <f>IF(N29&lt;0.08,9,O34)</f>
        <v>8</v>
      </c>
      <c r="R33" s="839" t="s">
        <v>49</v>
      </c>
      <c r="S33" s="450">
        <v>-50</v>
      </c>
      <c r="T33" s="840">
        <v>0.63</v>
      </c>
      <c r="V33" s="841">
        <f t="shared" si="0"/>
        <v>0</v>
      </c>
      <c r="W33" s="842">
        <v>0</v>
      </c>
      <c r="X33" s="843">
        <v>0</v>
      </c>
      <c r="Z33" s="838" t="s">
        <v>49</v>
      </c>
      <c r="AA33" s="451">
        <v>-40</v>
      </c>
      <c r="AB33" s="844">
        <v>1.17E-2</v>
      </c>
    </row>
    <row r="34" spans="1:28" ht="12.75" customHeight="1" thickBot="1">
      <c r="A34" s="5"/>
      <c r="B34" s="5"/>
      <c r="C34" s="5"/>
      <c r="D34" s="47" t="s">
        <v>44</v>
      </c>
      <c r="E34" s="172">
        <f>IF(N31=0,INDEX(Caliper!E111:E363,(ROUNDDOWN(((F34-30)/(20/72)+1),0)),1),INDEX(Caliper!E111:E363,(ROUNDUP(((F34-30)/(20/72))+1,0)),1))</f>
        <v>175.77777777777862</v>
      </c>
      <c r="F34" s="900">
        <f>IF(M26&gt;(E21-0.0001),F31,G31)</f>
        <v>62.628235113970774</v>
      </c>
      <c r="G34" s="49">
        <f>G24+M25</f>
        <v>0.9735975273342562</v>
      </c>
      <c r="H34" s="47">
        <f>O33</f>
        <v>8</v>
      </c>
      <c r="I34" s="54" t="s">
        <v>49</v>
      </c>
      <c r="J34" s="49">
        <f>'INF ...'!J3</f>
        <v>2.1072457932888331</v>
      </c>
      <c r="K34" s="898">
        <f>AB35*D32</f>
        <v>1.0441231423896788E-2</v>
      </c>
      <c r="L34" s="464"/>
      <c r="M34" s="333"/>
      <c r="N34" s="86">
        <f>IF(M29&gt;(20/72)-0.08,9,8)</f>
        <v>8</v>
      </c>
      <c r="O34" s="56">
        <f>IF(N29&gt;(20/72)-0.08,9,8)</f>
        <v>8</v>
      </c>
      <c r="R34" s="838" t="s">
        <v>410</v>
      </c>
      <c r="S34" s="845">
        <f>Calculadora!$B$2</f>
        <v>0.86</v>
      </c>
      <c r="T34" s="455">
        <f>T28*(S34-S29)*(S34-S30)*(S34-S31)*(S34-S32)*(S34-S33)/((S28-S29)*(S28-S30)*(S28-S31)*(S28-S32)*(S28-S33))+T29*(S34-S28)*(S34-S30)*(S34-S31)*(S34-S32)*(S34-S33)/((S29-S28)*(S29-S30)*(S29-S31)*(S29-S32)*(S29-S33))+T30*(S34-S28)*(S34-S29)*(S34-S31)*(S34-S32)*(S34-S33)/((S30-S28)*(S30-S29)*(S30-S31)*(S30-S32)*(S30-S33))+T31*(S34-S28)*(S34-S29)*(S34-S30)*(S34-S32)*(S34-S33)/((S31-S28)*(S31-S29)*(S31-S30)*(S31-S32)*(S31-S33))+T32*(S34-S28)*(S34-S29)*(S34-S30)*(S34-S31)*(S34-S33)/((S32-S28)*(S32-S29)*(S32-S30)*(S32-S31)*(S32-S33))+T33*(S34-S28)*(S34-S29)*(S34-S30)*(S34-S31)*(S34-S32)/((S33-S28)*(S33-S29)*(S33-S30)*(S33-S31)*(S33-S32))</f>
        <v>0.68545918869981948</v>
      </c>
      <c r="Z34" s="839" t="s">
        <v>49</v>
      </c>
      <c r="AA34" s="450">
        <v>-50</v>
      </c>
      <c r="AB34" s="846">
        <v>1.1900000000000001E-2</v>
      </c>
    </row>
    <row r="35" spans="1:28" ht="13.5" customHeight="1" thickBot="1">
      <c r="A35" s="5"/>
      <c r="B35" s="5"/>
      <c r="C35" s="17"/>
      <c r="K35" s="176" t="b">
        <f>IF(AND(Calculadora!B2&lt;0.01,Calculadora!B2&gt;-10),(AB35*B32),IF(AND(Calculadora!B2&lt;-9.99,Calculadora!B2&gt;-30),(AB35*C32),IF(AND(Calculadora!B2&lt;-29.99,Calculadora!B2&gt;-59),((AB35*C32)*0.8996))))</f>
        <v>0</v>
      </c>
      <c r="L35" s="434">
        <v>0.64</v>
      </c>
      <c r="Y35" s="71"/>
      <c r="Z35" s="838" t="s">
        <v>410</v>
      </c>
      <c r="AA35" s="845">
        <f>Calculadora!$B$2</f>
        <v>0.86</v>
      </c>
      <c r="AB35" s="847">
        <f>AB29*(AA35-AA30)*(AA35-AA31)*(AA35-AA32)*(AA35-AA33)*(AA35-AA34)/((AA29-AA30)*(AA29-AA31)*(AA29-AA32)*(AA29-AA33)*(AA29-AA34))+AB30*(AA35-AA29)*(AA35-AA31)*(AA35-AA32)*(AA35-AA33)*(AA35-AA34)/((AA30-AA29)*(AA30-AA31)*(AA30-AA32)*(AA30-AA33)*(AA30-AA34))+AB31*(AA35-AA29)*(AA35-AA30)*(AA35-AA32)*(AA35-AA33)*(AA35-AA34)/((AA31-AA29)*(AA31-AA30)*(AA31-AA32)*(AA31-AA33)*(AA31-AA34))+AB32*(AA35-AA29)*(AA35-AA30)*(AA35-AA31)*(AA35-AA33)*(AA35-AA34)/((AA32-AA29)*(AA32-AA30)*(AA32-AA31)*(AA32-AA33)*(AA32-AA34))+AB33*(AA35-AA29)*(AA35-AA30)*(AA35-AA31)*(AA35-AA32)*(AA35-AA34)/((AA33-AA29)*(AA33-AA30)*(AA33-AA31)*(AA33-AA32)*(AA33-AA34))+AB34*(AA35-AA29)*(AA35-AA30)*(AA35-AA31)*(AA35-AA32)*(AA35-AA33)/((AA34-AA29)*(AA34-AA30)*(AA34-AA31)*(AA34-AA32)*(AA34-AA33))</f>
        <v>1.1905563283091537E-2</v>
      </c>
    </row>
    <row r="36" spans="1:28" ht="13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28" ht="12.75" customHeight="1" thickBot="1"/>
    <row r="38" spans="1:28" ht="13.5" customHeight="1" thickBot="1">
      <c r="A38" s="366" t="s">
        <v>38</v>
      </c>
      <c r="B38" s="346">
        <v>1</v>
      </c>
      <c r="C38" s="291">
        <v>0.9</v>
      </c>
      <c r="D38" s="35">
        <v>0.8</v>
      </c>
    </row>
    <row r="39" spans="1:28" ht="13.5" customHeight="1" thickBot="1">
      <c r="A39" s="11" t="s">
        <v>8</v>
      </c>
      <c r="B39" s="347">
        <v>264.25</v>
      </c>
      <c r="C39" s="339">
        <v>231.5</v>
      </c>
      <c r="D39" s="13">
        <v>199</v>
      </c>
      <c r="F39" s="8" t="s">
        <v>18</v>
      </c>
      <c r="G39" s="9"/>
      <c r="H39" s="5"/>
      <c r="I39" s="8" t="s">
        <v>1</v>
      </c>
      <c r="J39" s="10"/>
      <c r="K39" s="5"/>
      <c r="L39" s="52" t="s">
        <v>18</v>
      </c>
      <c r="M39" s="50">
        <f>B40*(M45-C39)*(M45-D39)/((B39-C39)*(B39-D39))+C40*(M45-B39)*(M45-D39)/((C39-B39)*(C39-D39))+D40*(M45-B39)*(M45-C39)/((D39-B39)*(D39-C39))</f>
        <v>0.48845737113005505</v>
      </c>
      <c r="N39" s="5"/>
      <c r="O39" s="5"/>
      <c r="S39" s="5"/>
      <c r="Y39" s="1"/>
      <c r="Z39" s="1"/>
      <c r="AA39" s="1"/>
      <c r="AB39" s="1"/>
    </row>
    <row r="40" spans="1:28" ht="13.5" customHeight="1" thickBot="1">
      <c r="A40" s="296" t="s">
        <v>18</v>
      </c>
      <c r="B40" s="340">
        <v>1.2969999999999999</v>
      </c>
      <c r="C40" s="52">
        <v>0.90449999999999997</v>
      </c>
      <c r="D40" s="313">
        <v>0.64</v>
      </c>
      <c r="F40" s="298" t="s">
        <v>20</v>
      </c>
      <c r="G40" s="14">
        <f>M39*$AO$2*Calculadora!$B$3</f>
        <v>1.8582022629825563</v>
      </c>
      <c r="H40" s="5"/>
      <c r="I40" s="317"/>
      <c r="J40" s="318"/>
      <c r="K40" s="17"/>
      <c r="L40" s="50" t="s">
        <v>21</v>
      </c>
      <c r="M40" s="51">
        <f>L52*POWER(K52,(B39-M45))</f>
        <v>4.3091891025864344</v>
      </c>
      <c r="N40" s="5"/>
      <c r="O40" s="5"/>
      <c r="Y40" s="1"/>
      <c r="Z40" s="1"/>
      <c r="AA40" s="1"/>
      <c r="AB40" s="1"/>
    </row>
    <row r="41" spans="1:28" ht="12.75" customHeight="1" thickBot="1">
      <c r="A41" s="1"/>
      <c r="F41" s="52" t="s">
        <v>22</v>
      </c>
      <c r="G41" s="328">
        <f>IF(G47&gt;0,G40*M42,G40*M43)</f>
        <v>1.8505508000379349</v>
      </c>
      <c r="H41" s="5"/>
      <c r="I41" s="52" t="s">
        <v>23</v>
      </c>
      <c r="J41" s="313">
        <f>M39*Calculadora!$B$3*$AO$1</f>
        <v>0.60376651482759136</v>
      </c>
      <c r="K41" s="17"/>
      <c r="L41" s="50" t="s">
        <v>24</v>
      </c>
      <c r="M41" s="51">
        <f>L53*POWER(K53,(B39-M45))</f>
        <v>5.0081280420802399</v>
      </c>
      <c r="N41" s="5"/>
      <c r="O41" s="5"/>
      <c r="V41" s="1"/>
      <c r="W41" s="1"/>
      <c r="X41" s="1"/>
      <c r="Y41" s="1"/>
      <c r="Z41" s="1"/>
      <c r="AA41" s="1"/>
    </row>
    <row r="42" spans="1:28" ht="12.75" customHeight="1" thickBot="1">
      <c r="E42" s="5"/>
      <c r="F42" s="303" t="s">
        <v>25</v>
      </c>
      <c r="G42" s="304">
        <f>G41*J45</f>
        <v>1.8436861239064088</v>
      </c>
      <c r="H42" s="5"/>
      <c r="I42" s="329"/>
      <c r="J42" s="330"/>
      <c r="K42" s="17"/>
      <c r="L42" s="50" t="s">
        <v>26</v>
      </c>
      <c r="M42" s="51">
        <f>IF((M45&gt;0),((100+(G47/-J52))/100))</f>
        <v>0.99588233041308416</v>
      </c>
      <c r="N42" s="5"/>
      <c r="O42" s="5"/>
      <c r="V42" s="1"/>
      <c r="W42" s="1"/>
      <c r="X42" s="1"/>
      <c r="Y42" s="1"/>
      <c r="Z42" s="1"/>
      <c r="AA42" s="1"/>
    </row>
    <row r="43" spans="1:28" ht="12.75" customHeight="1" thickBot="1">
      <c r="A43" s="1"/>
      <c r="B43" s="1"/>
      <c r="C43" s="1"/>
      <c r="E43" s="5"/>
      <c r="F43" s="24" t="s">
        <v>27</v>
      </c>
      <c r="G43" s="342">
        <f>G41/J46</f>
        <v>1.8591333624942112</v>
      </c>
      <c r="H43" s="5"/>
      <c r="I43" s="311" t="s">
        <v>28</v>
      </c>
      <c r="J43" s="312">
        <f>$AT$1*Calculadora!$B$3*M39*0.95*(1-(G47*0.016))</f>
        <v>0.53956819039138382</v>
      </c>
      <c r="K43" s="17"/>
      <c r="L43" s="50" t="s">
        <v>29</v>
      </c>
      <c r="M43" s="51">
        <f>IF((M45&gt;0),((100+(G47/-J53))/100))</f>
        <v>0.99140871255519725</v>
      </c>
      <c r="N43" s="5"/>
      <c r="O43" s="5"/>
      <c r="V43" s="1"/>
      <c r="W43" s="1"/>
      <c r="X43" s="1"/>
      <c r="Y43" s="1"/>
      <c r="Z43" s="1"/>
      <c r="AA43" s="1"/>
    </row>
    <row r="44" spans="1:28" ht="12.75" customHeight="1" thickBot="1">
      <c r="A44" s="449" t="s">
        <v>21</v>
      </c>
      <c r="B44" s="450">
        <v>1</v>
      </c>
      <c r="C44" s="451">
        <v>0.8</v>
      </c>
      <c r="E44" s="5"/>
      <c r="F44" s="5"/>
      <c r="G44" s="5"/>
      <c r="H44" s="5"/>
      <c r="I44" s="311" t="s">
        <v>30</v>
      </c>
      <c r="J44" s="312">
        <f>$AT$1*Calculadora!$B$3*M39*1.27*(1-(G47*0.016))</f>
        <v>0.72131747557585002</v>
      </c>
      <c r="K44" s="17"/>
      <c r="L44" s="52" t="s">
        <v>52</v>
      </c>
      <c r="M44" s="52">
        <f>M39/4*Calculadora!$B$5</f>
        <v>0</v>
      </c>
      <c r="N44" s="5"/>
      <c r="O44" s="5"/>
      <c r="V44" s="1"/>
      <c r="W44" s="1"/>
      <c r="X44" s="1"/>
      <c r="Y44" s="1"/>
      <c r="Z44" s="1"/>
      <c r="AA44" s="1"/>
    </row>
    <row r="45" spans="1:28" ht="12.75" customHeight="1" thickBot="1">
      <c r="A45" s="452" t="s">
        <v>21</v>
      </c>
      <c r="B45" s="453">
        <v>20</v>
      </c>
      <c r="C45" s="454">
        <f>C44</f>
        <v>0.8</v>
      </c>
      <c r="D45" s="5"/>
      <c r="E45" s="5"/>
      <c r="F45" s="8" t="s">
        <v>0</v>
      </c>
      <c r="G45" s="5"/>
      <c r="H45" s="5"/>
      <c r="I45" s="329" t="s">
        <v>31</v>
      </c>
      <c r="J45" s="52">
        <f>(100+(J43*2.75/-4))/100</f>
        <v>0.99629046869105919</v>
      </c>
      <c r="K45" s="17"/>
      <c r="L45" s="52" t="s">
        <v>53</v>
      </c>
      <c r="M45" s="52">
        <f>CC!$S$12</f>
        <v>131.55000000000001</v>
      </c>
      <c r="V45" s="1"/>
      <c r="W45" s="1"/>
      <c r="X45" s="1"/>
      <c r="Y45" s="1"/>
      <c r="Z45" s="1"/>
      <c r="AA45" s="1"/>
    </row>
    <row r="46" spans="1:28" ht="12.75" customHeight="1" thickBot="1">
      <c r="A46" s="449" t="s">
        <v>21</v>
      </c>
      <c r="B46" s="450">
        <v>40</v>
      </c>
      <c r="C46" s="451">
        <v>0.81</v>
      </c>
      <c r="D46" s="5"/>
      <c r="E46" s="5"/>
      <c r="F46" s="317"/>
      <c r="G46" s="322"/>
      <c r="H46" s="5"/>
      <c r="I46" s="310" t="s">
        <v>32</v>
      </c>
      <c r="J46" s="28">
        <f>(100+(J44*4/-6.25))/100</f>
        <v>0.99538356815631457</v>
      </c>
      <c r="K46" s="17"/>
      <c r="V46" s="1"/>
      <c r="W46" s="1"/>
      <c r="X46" s="1"/>
      <c r="Y46" s="1"/>
      <c r="Z46" s="1"/>
      <c r="AA46" s="1"/>
    </row>
    <row r="47" spans="1:28" ht="12.75" customHeight="1" thickBot="1">
      <c r="A47" s="449" t="s">
        <v>409</v>
      </c>
      <c r="B47" s="450">
        <f>Calculadora!$B$2</f>
        <v>0.86</v>
      </c>
      <c r="C47" s="455">
        <f>C44*(B47-B45)*(B47-B46)/((B44-B45)*(B44-B46))+C45*(B47-B44)*(B47-B46)/((B45-B44)*(B45-B46))+C46*(B47-B44)*(B47-B45)/((B46-B44)*(B46-B45))</f>
        <v>0.80003435384615385</v>
      </c>
      <c r="D47" s="5"/>
      <c r="E47" s="5"/>
      <c r="F47" s="303" t="s">
        <v>7</v>
      </c>
      <c r="G47" s="323">
        <f>IF(Calculadora!$B$2&gt;0,Calculadora!$B$2*M40,Calculadora!$B$2*M41)</f>
        <v>3.7059026282243335</v>
      </c>
      <c r="H47" s="5"/>
      <c r="I47" s="17"/>
      <c r="J47" s="17"/>
      <c r="M47" s="83" t="s">
        <v>9</v>
      </c>
      <c r="N47" s="335"/>
      <c r="O47" s="40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8" ht="12.75" customHeight="1" thickBot="1">
      <c r="A48" s="919"/>
      <c r="B48" s="919"/>
      <c r="C48" s="456"/>
      <c r="D48" s="5"/>
      <c r="E48" s="5"/>
      <c r="F48" s="321"/>
      <c r="G48" s="30"/>
      <c r="H48" s="5"/>
      <c r="I48" s="320" t="s">
        <v>33</v>
      </c>
      <c r="J48" s="32">
        <f>M45+G47-J43</f>
        <v>134.71633443783296</v>
      </c>
      <c r="K48">
        <f>M45+G47</f>
        <v>135.25590262822433</v>
      </c>
      <c r="M48" s="84">
        <f>MOD(F52,20/72)</f>
        <v>0.27422988603320075</v>
      </c>
      <c r="N48" s="84">
        <f>MOD(F53,20/72)</f>
        <v>0.11389243718342879</v>
      </c>
      <c r="O48" s="41"/>
      <c r="S48" s="1"/>
      <c r="T48" s="1"/>
      <c r="U48" s="1"/>
      <c r="V48" s="1"/>
      <c r="W48" s="1"/>
      <c r="X48" s="1"/>
      <c r="Y48" s="1"/>
      <c r="Z48" s="1"/>
      <c r="AA48" s="1"/>
    </row>
    <row r="49" spans="1:27" ht="13.5" customHeight="1" thickBot="1">
      <c r="A49" s="457"/>
      <c r="B49" s="458"/>
      <c r="C49" s="457"/>
      <c r="D49" s="5"/>
      <c r="E49" s="5"/>
      <c r="F49" s="17"/>
      <c r="G49" s="17"/>
      <c r="H49" s="5"/>
      <c r="I49" s="308" t="s">
        <v>34</v>
      </c>
      <c r="J49" s="319">
        <f>M45+G47+J44</f>
        <v>135.97722010380019</v>
      </c>
      <c r="M49" s="84">
        <f>M48/(20/72)</f>
        <v>0.98722758971952262</v>
      </c>
      <c r="N49" s="84">
        <f>N48/(20/72)</f>
        <v>0.41001277386034363</v>
      </c>
      <c r="O49" s="41"/>
      <c r="S49" s="1"/>
      <c r="T49" s="1"/>
      <c r="U49" s="1"/>
      <c r="V49" s="1"/>
      <c r="W49" s="1"/>
      <c r="X49" s="1"/>
      <c r="Y49" s="1"/>
      <c r="Z49" s="1"/>
      <c r="AA49" s="1"/>
    </row>
    <row r="50" spans="1:27" ht="12.75" customHeight="1" thickBot="1">
      <c r="A50" s="453" t="s">
        <v>49</v>
      </c>
      <c r="B50" s="454">
        <v>-1</v>
      </c>
      <c r="C50" s="459">
        <v>0.65</v>
      </c>
      <c r="D50" s="5"/>
      <c r="E50" s="17"/>
      <c r="F50" s="17"/>
      <c r="G50" s="17"/>
      <c r="H50" s="5"/>
      <c r="I50" s="5"/>
      <c r="J50" s="5"/>
      <c r="M50" s="84">
        <f>IF(M49&lt;0.288,ROUNDDOWN(M49,0),ROUNDUP(M49,0))</f>
        <v>1</v>
      </c>
      <c r="N50" s="84">
        <f>IF(N49&lt;0.288,ROUNDDOWN(N49,0),ROUNDUP(N49,0))</f>
        <v>1</v>
      </c>
      <c r="O50" s="41"/>
      <c r="S50" s="1"/>
      <c r="T50" s="1"/>
      <c r="U50" s="1"/>
      <c r="V50" s="1"/>
      <c r="W50" s="1"/>
      <c r="X50" s="1"/>
      <c r="Y50" s="1"/>
      <c r="Z50" s="1"/>
      <c r="AA50" s="1"/>
    </row>
    <row r="51" spans="1:27" ht="12.75" customHeight="1" thickBot="1">
      <c r="A51" s="453" t="s">
        <v>49</v>
      </c>
      <c r="B51" s="454">
        <v>-20</v>
      </c>
      <c r="C51" s="460">
        <f>MEDIAN(C50,C52)</f>
        <v>0.64500000000000002</v>
      </c>
      <c r="E51" s="46" t="s">
        <v>46</v>
      </c>
      <c r="F51" s="48"/>
      <c r="G51" s="46" t="s">
        <v>13</v>
      </c>
      <c r="H51" s="55" t="s">
        <v>47</v>
      </c>
      <c r="J51" s="44" t="s">
        <v>48</v>
      </c>
      <c r="K51" s="44" t="s">
        <v>50</v>
      </c>
      <c r="L51" s="44" t="s">
        <v>51</v>
      </c>
      <c r="M51" s="333"/>
      <c r="N51" s="333"/>
      <c r="O51" s="334"/>
      <c r="S51" s="1"/>
      <c r="T51" s="1"/>
      <c r="U51" s="1"/>
      <c r="V51" s="1"/>
      <c r="W51" s="1"/>
      <c r="X51" s="1"/>
      <c r="Y51" s="1"/>
      <c r="Z51" s="1"/>
      <c r="AA51" s="1"/>
    </row>
    <row r="52" spans="1:27" ht="12.75" customHeight="1" thickBot="1">
      <c r="A52" s="450" t="s">
        <v>49</v>
      </c>
      <c r="B52" s="451">
        <v>-40</v>
      </c>
      <c r="C52" s="461">
        <v>0.64</v>
      </c>
      <c r="D52" s="45" t="s">
        <v>43</v>
      </c>
      <c r="E52" s="171" t="e">
        <f>IF(M50=0,INDEX(CB!B5:B113,(ROUNDDOWN(((F52-70)/(20/72)+1),0)),1),INDEX(CB!B5:B113,(ROUNDUP(((F52-70)/(20/72))+1,0)),1))</f>
        <v>#VALUE!</v>
      </c>
      <c r="F52" s="48">
        <f>100*(J48-C39)*(J48-D39)/((B39-C39)*(B39-D39))+90*(J48-B39)*(J48-D39)/((C39-B39)*(C39-D39))+80*(J48-B39)*(J48-C39)/((D39-B39)*(D39-C39))</f>
        <v>59.996452108255426</v>
      </c>
      <c r="G52" s="48">
        <f>G42+M44+Calculadora!B6</f>
        <v>1.8436861239064088</v>
      </c>
      <c r="H52" s="45">
        <f>N52</f>
        <v>9</v>
      </c>
      <c r="I52" s="53" t="s">
        <v>21</v>
      </c>
      <c r="J52" s="45">
        <v>9</v>
      </c>
      <c r="K52" s="45">
        <v>1.0127699999999999</v>
      </c>
      <c r="L52" s="463">
        <f>C47</f>
        <v>0.80003435384615385</v>
      </c>
      <c r="M52" s="52" t="s">
        <v>4</v>
      </c>
      <c r="N52" s="52">
        <f>IF(M48&lt;0.08,9,N53)</f>
        <v>9</v>
      </c>
      <c r="O52" s="313">
        <f>IF(N48&lt;0.08,9,O53)</f>
        <v>8</v>
      </c>
      <c r="S52" s="1"/>
      <c r="T52" s="1"/>
      <c r="U52" s="1"/>
      <c r="V52" s="1"/>
      <c r="W52" s="1"/>
      <c r="X52" s="1"/>
      <c r="Y52" s="1"/>
      <c r="Z52" s="1"/>
      <c r="AA52" s="1"/>
    </row>
    <row r="53" spans="1:27" ht="13.5" customHeight="1" thickBot="1">
      <c r="A53" s="450" t="s">
        <v>410</v>
      </c>
      <c r="B53" s="451">
        <f>Calculadora!$B$2</f>
        <v>0.86</v>
      </c>
      <c r="C53" s="455">
        <f>C50*(B53-B51)*(B53-B52)/((B50-B51)*(B50-B52))+C51*(B53-B50)*(B53-B52)/((B51-B50)*(B51-B52))+C52*(B53-B50)*(B53-B51)/((B52-B50)*(B52-B51))</f>
        <v>0.6505025639676113</v>
      </c>
      <c r="D53" s="47" t="s">
        <v>44</v>
      </c>
      <c r="E53" s="172" t="e">
        <f>IF(N50=0,INDEX(CB!B5:B113,(ROUNDDOWN(((F53-70)/(20/72)+1),0)),1),INDEX(CB!B5:B113,(ROUNDUP(((F53-70)/(20/72))+1,0)),1))</f>
        <v>#VALUE!</v>
      </c>
      <c r="F53" s="49">
        <f>100*(J49-C39)*(J49-D39)/((B39-C39)*(B39-D39))+90*(J49-B39)*(J49-D39)/((C39-B39)*(C39-D39))+80*(J49-B39)*(J49-C39)/((D39-B39)*(D39-C39))</f>
        <v>60.391670214961209</v>
      </c>
      <c r="G53" s="49">
        <f>G43+M44+Calculadora!B6</f>
        <v>1.8591333624942112</v>
      </c>
      <c r="H53" s="47">
        <f>O52</f>
        <v>8</v>
      </c>
      <c r="I53" s="54" t="s">
        <v>49</v>
      </c>
      <c r="J53" s="47">
        <f>'INF ...'!E5</f>
        <v>4.3135591167610254</v>
      </c>
      <c r="K53" s="47">
        <v>1.0155000000000001</v>
      </c>
      <c r="L53" s="464">
        <f>C53</f>
        <v>0.6505025639676113</v>
      </c>
      <c r="M53" s="333"/>
      <c r="N53" s="86">
        <f>IF(M48&gt;(20/72)-0.08,9,8)</f>
        <v>9</v>
      </c>
      <c r="O53" s="56">
        <f>IF(N48&gt;(20/72)-0.08,9,8)</f>
        <v>8</v>
      </c>
      <c r="S53" s="1"/>
      <c r="T53" s="1"/>
      <c r="U53" s="1"/>
      <c r="V53" s="1"/>
      <c r="W53" s="1"/>
      <c r="X53" s="1"/>
      <c r="Y53" s="1"/>
      <c r="Z53" s="1"/>
      <c r="AA53" s="1"/>
    </row>
    <row r="54" spans="1:27" ht="13.5" customHeight="1">
      <c r="A54" s="5"/>
      <c r="B54" s="5"/>
      <c r="C54" s="5"/>
      <c r="S54" s="1"/>
      <c r="T54" s="1"/>
      <c r="U54" s="1"/>
      <c r="V54" s="1"/>
      <c r="W54" s="1"/>
      <c r="X54" s="1"/>
      <c r="Y54" s="1"/>
      <c r="Z54" s="1"/>
      <c r="AA54" s="1"/>
    </row>
    <row r="55" spans="1:27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S55" s="1"/>
      <c r="T55" s="1"/>
      <c r="U55" s="1"/>
      <c r="V55" s="1"/>
      <c r="W55" s="1"/>
      <c r="X55" s="1"/>
      <c r="Y55" s="1"/>
      <c r="Z55" s="1"/>
      <c r="AA55" s="1"/>
    </row>
    <row r="56" spans="1:27" ht="12.75" customHeight="1" thickBot="1">
      <c r="S56" s="1"/>
      <c r="T56" s="1"/>
      <c r="U56" s="1"/>
      <c r="V56" s="1"/>
      <c r="W56" s="1"/>
      <c r="X56" s="1"/>
      <c r="Y56" s="1"/>
      <c r="Z56" s="1"/>
      <c r="AA56" s="1"/>
    </row>
    <row r="57" spans="1:27" ht="12.75" customHeight="1" thickBot="1">
      <c r="A57" s="366" t="s">
        <v>39</v>
      </c>
      <c r="B57" s="346">
        <v>1</v>
      </c>
      <c r="C57" s="291">
        <v>0.9</v>
      </c>
      <c r="D57" s="35">
        <v>0.8</v>
      </c>
      <c r="F57" s="8" t="s">
        <v>18</v>
      </c>
      <c r="G57" s="9"/>
      <c r="H57" s="5"/>
      <c r="I57" s="8" t="s">
        <v>1</v>
      </c>
      <c r="J57" s="10"/>
      <c r="K57" s="5"/>
      <c r="L57" s="52" t="s">
        <v>18</v>
      </c>
      <c r="M57" s="50">
        <f>B59*(M63-C58)*(M63-D58)/((B58-C58)*(B58-D58))+C59*(M63-B58)*(M63-D58)/((C58-B58)*(C58-D58))+D59*(M63-B58)*(M63-C58)/((D58-B58)*(D58-C58))</f>
        <v>0.44747572956981418</v>
      </c>
      <c r="S57" s="1"/>
      <c r="T57" s="1"/>
      <c r="U57" s="1"/>
      <c r="V57" s="1"/>
      <c r="W57" s="1"/>
      <c r="X57" s="1"/>
      <c r="Y57" s="1"/>
      <c r="Z57" s="1"/>
      <c r="AA57" s="1"/>
    </row>
    <row r="58" spans="1:27" ht="12.75" customHeight="1" thickBot="1">
      <c r="A58" s="289" t="s">
        <v>8</v>
      </c>
      <c r="B58" s="347">
        <v>285</v>
      </c>
      <c r="C58" s="338">
        <v>255.1</v>
      </c>
      <c r="D58" s="345">
        <v>226.2</v>
      </c>
      <c r="F58" s="347" t="s">
        <v>20</v>
      </c>
      <c r="G58" s="305">
        <f>M57*$AO$2*Calculadora!$B$3</f>
        <v>1.7022988339651988</v>
      </c>
      <c r="H58" s="5"/>
      <c r="I58" s="317"/>
      <c r="J58" s="318"/>
      <c r="K58" s="17"/>
      <c r="L58" s="50" t="s">
        <v>21</v>
      </c>
      <c r="M58" s="51">
        <f>K70*POWER(J70,(B58-M63))</f>
        <v>3.3281280574483727</v>
      </c>
      <c r="S58" s="1"/>
      <c r="T58" s="1"/>
      <c r="U58" s="1"/>
      <c r="V58" s="1"/>
      <c r="W58" s="1"/>
      <c r="X58" s="1"/>
      <c r="Y58" s="1"/>
      <c r="Z58" s="1"/>
      <c r="AA58" s="1"/>
    </row>
    <row r="59" spans="1:27" ht="12.75" customHeight="1" thickBot="1">
      <c r="A59" s="296" t="s">
        <v>18</v>
      </c>
      <c r="B59" s="331">
        <v>1.1499999999999999</v>
      </c>
      <c r="C59" s="313">
        <v>0.84</v>
      </c>
      <c r="D59" s="313">
        <v>0.62</v>
      </c>
      <c r="F59" s="329" t="s">
        <v>22</v>
      </c>
      <c r="G59" s="343">
        <f>IF(G65&gt;0,G58*M60,G58*M61)</f>
        <v>1.6887646591877714</v>
      </c>
      <c r="H59" s="5"/>
      <c r="I59" s="329" t="s">
        <v>23</v>
      </c>
      <c r="J59" s="349">
        <f>M57*Calculadora!$B$3*$AO$1</f>
        <v>0.55311042002960309</v>
      </c>
      <c r="K59" s="17"/>
      <c r="L59" s="50" t="s">
        <v>24</v>
      </c>
      <c r="M59" s="51">
        <f>K71*POWER(J71,(B58-M63))</f>
        <v>2.2165476025046269</v>
      </c>
      <c r="Q59" s="5"/>
      <c r="R59" s="5"/>
      <c r="S59" s="1"/>
      <c r="T59" s="1"/>
      <c r="U59" s="1"/>
      <c r="V59" s="1"/>
      <c r="W59" s="1"/>
      <c r="X59" s="1"/>
      <c r="Y59" s="1"/>
      <c r="Z59" s="1"/>
      <c r="AA59" s="1"/>
    </row>
    <row r="60" spans="1:27" ht="12.75" customHeight="1" thickBot="1">
      <c r="A60" s="434" t="s">
        <v>264</v>
      </c>
      <c r="B60" s="447">
        <v>286.04000000000002</v>
      </c>
      <c r="C60" s="447">
        <v>255.74</v>
      </c>
      <c r="D60" s="447">
        <v>226.46</v>
      </c>
      <c r="F60" s="311" t="s">
        <v>25</v>
      </c>
      <c r="G60" s="348">
        <f>G59*J63</f>
        <v>1.6826369895453681</v>
      </c>
      <c r="H60" s="5"/>
      <c r="I60" s="329"/>
      <c r="J60" s="330"/>
      <c r="K60" s="17"/>
      <c r="L60" s="50" t="s">
        <v>26</v>
      </c>
      <c r="M60" s="51">
        <f>IF((M63&gt;0),((100+(G65/-I70))/100))</f>
        <v>0.99204947186276227</v>
      </c>
      <c r="S60" s="1"/>
      <c r="T60" s="1"/>
      <c r="U60" s="1"/>
      <c r="V60" s="1"/>
      <c r="W60" s="1"/>
      <c r="X60" s="1"/>
      <c r="Y60" s="1"/>
      <c r="Z60" s="1"/>
      <c r="AA60" s="1"/>
    </row>
    <row r="61" spans="1:27" ht="12.75" customHeight="1" thickBot="1">
      <c r="F61" s="301" t="s">
        <v>27</v>
      </c>
      <c r="G61" s="25">
        <f>G59/J64</f>
        <v>1.6960403356840092</v>
      </c>
      <c r="H61" s="5"/>
      <c r="I61" s="300" t="s">
        <v>28</v>
      </c>
      <c r="J61" s="26">
        <f>$AT$1*Calculadora!$B$3*M57*1*(1-(G65*0.016))</f>
        <v>0.5277807050747213</v>
      </c>
      <c r="K61" s="17"/>
      <c r="L61" s="50" t="s">
        <v>29</v>
      </c>
      <c r="M61" s="51">
        <f>IF((M63&gt;0),((100+(G65/-I71))/100))</f>
        <v>0.99182231391598408</v>
      </c>
      <c r="S61" s="1"/>
      <c r="T61" s="1"/>
      <c r="U61" s="1"/>
      <c r="V61" s="1"/>
      <c r="W61" s="1"/>
      <c r="X61" s="1"/>
      <c r="Y61" s="1"/>
      <c r="Z61" s="1"/>
      <c r="AA61" s="1"/>
    </row>
    <row r="62" spans="1:27" ht="12.75" customHeight="1" thickBot="1">
      <c r="A62" s="449" t="s">
        <v>21</v>
      </c>
      <c r="B62" s="450">
        <v>1</v>
      </c>
      <c r="C62" s="451">
        <v>0.65</v>
      </c>
      <c r="F62" s="5"/>
      <c r="G62" s="5"/>
      <c r="H62" s="5"/>
      <c r="I62" s="308" t="s">
        <v>30</v>
      </c>
      <c r="J62" s="350">
        <f>$AT$1*Calculadora!$B$3*M57*1.27*(1-(G65*0.016))</f>
        <v>0.67028149544489601</v>
      </c>
      <c r="K62" s="17"/>
      <c r="L62" s="52" t="s">
        <v>52</v>
      </c>
      <c r="M62" s="52">
        <f>M57/4.2*Calculadora!$B$5</f>
        <v>0</v>
      </c>
      <c r="S62" s="1"/>
      <c r="T62" s="1"/>
      <c r="U62" s="1"/>
      <c r="V62" s="1"/>
      <c r="W62" s="1"/>
      <c r="X62" s="1"/>
      <c r="Y62" s="1"/>
      <c r="Z62" s="1"/>
      <c r="AA62" s="1"/>
    </row>
    <row r="63" spans="1:27" ht="12.75" customHeight="1" thickBot="1">
      <c r="A63" s="452" t="s">
        <v>21</v>
      </c>
      <c r="B63" s="453">
        <v>20</v>
      </c>
      <c r="C63" s="454">
        <f>C62</f>
        <v>0.65</v>
      </c>
      <c r="F63" s="8" t="s">
        <v>0</v>
      </c>
      <c r="G63" s="5"/>
      <c r="H63" s="5"/>
      <c r="I63" s="329" t="s">
        <v>31</v>
      </c>
      <c r="J63" s="349">
        <f>(100+(J61*2.75/-4))/100</f>
        <v>0.99637150765261129</v>
      </c>
      <c r="K63" s="17"/>
      <c r="L63" s="52" t="s">
        <v>53</v>
      </c>
      <c r="M63" s="52">
        <f>CC!$O$12</f>
        <v>131.55000000000001</v>
      </c>
      <c r="S63" s="1"/>
      <c r="T63" s="1"/>
      <c r="U63" s="1"/>
      <c r="V63" s="1"/>
      <c r="W63" s="1"/>
      <c r="X63" s="1"/>
      <c r="Y63" s="1"/>
      <c r="Z63" s="1"/>
      <c r="AA63" s="1"/>
    </row>
    <row r="64" spans="1:27" ht="13.5" customHeight="1" thickBot="1">
      <c r="A64" s="449" t="s">
        <v>21</v>
      </c>
      <c r="B64" s="450">
        <v>40</v>
      </c>
      <c r="C64" s="451">
        <f>C62</f>
        <v>0.65</v>
      </c>
      <c r="F64" s="15"/>
      <c r="G64" s="336"/>
      <c r="H64" s="5"/>
      <c r="I64" s="310" t="s">
        <v>32</v>
      </c>
      <c r="J64" s="28">
        <f>(100+(J62*4/-6.25))/100</f>
        <v>0.99571019842915265</v>
      </c>
      <c r="K64" s="17"/>
      <c r="N64" s="1"/>
      <c r="T64" s="1"/>
      <c r="U64" s="1"/>
      <c r="V64" s="1"/>
      <c r="W64" s="1"/>
      <c r="X64" s="1"/>
      <c r="Y64" s="1"/>
      <c r="Z64" s="1"/>
      <c r="AA64" s="1"/>
    </row>
    <row r="65" spans="1:27" ht="13.5" customHeight="1" thickBot="1">
      <c r="A65" s="449" t="s">
        <v>409</v>
      </c>
      <c r="B65" s="450">
        <f>Calculadora!$B$2</f>
        <v>0.86</v>
      </c>
      <c r="C65" s="455">
        <f>C62*(B65-B63)*(B65-B64)/((B62-B63)*(B62-B64))+C63*(B65-B62)*(B65-B64)/((B63-B62)*(B63-B64))+C64*(B65-B62)*(B65-B63)/((B64-B62)*(B64-B63))</f>
        <v>0.65000000000000013</v>
      </c>
      <c r="F65" s="390" t="s">
        <v>7</v>
      </c>
      <c r="G65" s="26">
        <f>IF(Calculadora!$B$2&gt;0,Calculadora!$B$2*M58,Calculadora!$B$2*M59)</f>
        <v>2.8621901294056005</v>
      </c>
      <c r="H65" s="5"/>
      <c r="I65" s="17"/>
      <c r="J65" s="17"/>
      <c r="N65" s="1"/>
      <c r="T65" s="1"/>
      <c r="U65" s="1"/>
      <c r="V65" s="1"/>
      <c r="W65" s="1"/>
      <c r="X65" s="1"/>
      <c r="Y65" s="1"/>
      <c r="Z65" s="1"/>
      <c r="AA65" s="1"/>
    </row>
    <row r="66" spans="1:27" ht="13.5" customHeight="1" thickBot="1">
      <c r="A66" s="919"/>
      <c r="B66" s="919"/>
      <c r="C66" s="456"/>
      <c r="F66" s="336"/>
      <c r="G66" s="341"/>
      <c r="H66" s="5"/>
      <c r="I66" s="352" t="s">
        <v>33</v>
      </c>
      <c r="J66" s="351">
        <f>M63+G65-J61</f>
        <v>133.8844094243309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2.75" customHeight="1" thickBot="1">
      <c r="A67" s="457"/>
      <c r="B67" s="458"/>
      <c r="C67" s="457"/>
      <c r="F67" s="17"/>
      <c r="G67" s="17"/>
      <c r="I67" s="301" t="s">
        <v>34</v>
      </c>
      <c r="J67" s="33">
        <f>M63+G65+J62</f>
        <v>135.08247162485051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2.75" customHeight="1" thickBot="1">
      <c r="A68" s="453" t="s">
        <v>49</v>
      </c>
      <c r="B68" s="454">
        <v>-1</v>
      </c>
      <c r="C68" s="459">
        <v>0.56000000000000005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2.75" customHeight="1" thickBot="1">
      <c r="A69" s="453" t="s">
        <v>49</v>
      </c>
      <c r="B69" s="454">
        <v>-20</v>
      </c>
      <c r="C69" s="460">
        <f>MEDIAN(C68,C70)</f>
        <v>0.55500000000000005</v>
      </c>
      <c r="E69" s="46" t="s">
        <v>46</v>
      </c>
      <c r="F69" s="46" t="s">
        <v>3</v>
      </c>
      <c r="G69" s="46" t="s">
        <v>13</v>
      </c>
      <c r="I69" s="44" t="s">
        <v>48</v>
      </c>
      <c r="J69" s="44" t="s">
        <v>50</v>
      </c>
      <c r="K69" s="44" t="s">
        <v>51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2.75" customHeight="1" thickBot="1">
      <c r="A70" s="450" t="s">
        <v>49</v>
      </c>
      <c r="B70" s="451">
        <v>-40</v>
      </c>
      <c r="C70" s="461">
        <v>0.55000000000000004</v>
      </c>
      <c r="D70" s="45" t="s">
        <v>43</v>
      </c>
      <c r="E70" s="45" t="e">
        <f>INDEX(CB!F41:F113,(ROUNDUP(((F70-80)/(20/72))+1,0)),1)</f>
        <v>#VALUE!</v>
      </c>
      <c r="F70" s="48">
        <f>IF(J66&lt;=C58,80+(J66-D58)/((C58-D58)/10),90+(J66-C58)/((B58-C58)/10))</f>
        <v>48.056889074162953</v>
      </c>
      <c r="G70" s="48">
        <f>G60+M62</f>
        <v>1.6826369895453681</v>
      </c>
      <c r="H70" s="53" t="s">
        <v>21</v>
      </c>
      <c r="I70" s="45">
        <v>3.6</v>
      </c>
      <c r="J70" s="45">
        <v>1.0106999999999999</v>
      </c>
      <c r="K70" s="463">
        <f>C65</f>
        <v>0.65000000000000013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2.75" customHeight="1" thickBot="1">
      <c r="A71" s="450" t="s">
        <v>410</v>
      </c>
      <c r="B71" s="451">
        <f>Calculadora!$B$2</f>
        <v>0.86</v>
      </c>
      <c r="C71" s="455">
        <f>C68*(B71-B69)*(B71-B70)/((B68-B69)*(B68-B70))+C69*(B71-B68)*(B71-B70)/((B69-B68)*(B69-B70))+C70*(B71-B68)*(B71-B69)/((B70-B68)*(B70-B69))</f>
        <v>0.56050256396761133</v>
      </c>
      <c r="D71" s="47" t="s">
        <v>44</v>
      </c>
      <c r="E71" s="172" t="e">
        <f>INDEX(CB!F41:F113,(ROUNDUP(((F71-80)/(20/72))+1,0)),1)</f>
        <v>#VALUE!</v>
      </c>
      <c r="F71" s="49">
        <f>IF(J67&lt;=C58,80+(J67-D58)/((C58-D58)/10),90+(J67-C58)/((B58-C58)/10))</f>
        <v>48.471443468806413</v>
      </c>
      <c r="G71" s="49">
        <f>G61+M62</f>
        <v>1.6960403356840092</v>
      </c>
      <c r="H71" s="54" t="s">
        <v>49</v>
      </c>
      <c r="I71" s="47">
        <v>3.5</v>
      </c>
      <c r="J71" s="47">
        <v>1.0089999999999999</v>
      </c>
      <c r="K71" s="464">
        <f>C71</f>
        <v>0.56050256396761133</v>
      </c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2.75" customHeight="1"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2.75" customHeight="1" thickBot="1"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3.5" customHeight="1" thickBot="1">
      <c r="A75" s="366" t="s">
        <v>36</v>
      </c>
      <c r="B75" s="358">
        <v>1</v>
      </c>
      <c r="C75" s="354">
        <v>0.9</v>
      </c>
      <c r="D75" s="7">
        <v>0.8</v>
      </c>
      <c r="F75" s="8" t="s">
        <v>18</v>
      </c>
      <c r="G75" s="9"/>
      <c r="H75" s="5"/>
      <c r="I75" s="8" t="s">
        <v>1</v>
      </c>
      <c r="J75" s="10"/>
      <c r="K75" s="5"/>
      <c r="L75" s="52" t="s">
        <v>18</v>
      </c>
      <c r="M75" s="50">
        <f>B77*(M81-C76)*(M81-D76)/((B76-C76)*(B76-D76))+C77*(M81-B76)*(M81-D76)/((C76-B76)*(C76-D76))+D77*(M81-B76)*(M81-C76)/((D76-B76)*(D76-C76))</f>
        <v>0.32480777683961337</v>
      </c>
      <c r="V75" s="1"/>
      <c r="W75" s="1"/>
      <c r="X75" s="1"/>
      <c r="Y75" s="1"/>
      <c r="Z75" s="1"/>
      <c r="AA75" s="1"/>
    </row>
    <row r="76" spans="1:27" ht="12.75" customHeight="1" thickBot="1">
      <c r="A76" s="289" t="s">
        <v>8</v>
      </c>
      <c r="B76" s="359">
        <v>232.84</v>
      </c>
      <c r="C76" s="355">
        <v>202.5</v>
      </c>
      <c r="D76" s="353">
        <v>173.4</v>
      </c>
      <c r="F76" s="347" t="s">
        <v>20</v>
      </c>
      <c r="G76" s="305">
        <f>M75*$AO$2*Calculadora!$B$3</f>
        <v>1.2356422108266254</v>
      </c>
      <c r="H76" s="5"/>
      <c r="I76" s="317"/>
      <c r="J76" s="318"/>
      <c r="K76" s="17"/>
      <c r="L76" s="50" t="s">
        <v>21</v>
      </c>
      <c r="M76" s="51">
        <f>L88*POWER(K88,(B76-M81))</f>
        <v>2.5620553950352636</v>
      </c>
      <c r="V76" s="1"/>
      <c r="W76" s="1"/>
      <c r="X76" s="1"/>
      <c r="Y76" s="1"/>
      <c r="Z76" s="1"/>
      <c r="AA76" s="1"/>
    </row>
    <row r="77" spans="1:27" ht="12.75" customHeight="1" thickBot="1">
      <c r="A77" s="192" t="s">
        <v>18</v>
      </c>
      <c r="B77" s="360">
        <v>1.08</v>
      </c>
      <c r="C77" s="356">
        <v>0.77</v>
      </c>
      <c r="D77" s="357">
        <v>0.54</v>
      </c>
      <c r="F77" s="329" t="s">
        <v>22</v>
      </c>
      <c r="G77" s="343">
        <f>IF(G83&gt;0,G76*M78,G76*M79)</f>
        <v>1.2242981522365413</v>
      </c>
      <c r="H77" s="5"/>
      <c r="I77" s="329" t="s">
        <v>23</v>
      </c>
      <c r="J77" s="349">
        <f>M75*Calculadora!$B$3*$AO$1</f>
        <v>0.40148449179434398</v>
      </c>
      <c r="K77" s="17"/>
      <c r="L77" s="50" t="s">
        <v>24</v>
      </c>
      <c r="M77" s="51">
        <f>IF(Calculadora!B62&gt;-30,L89*POWER(K89,(B76-M81)),L90*POWER(K90,(B76-M81)))</f>
        <v>2.106597691411034</v>
      </c>
      <c r="V77" s="1"/>
      <c r="W77" s="1"/>
      <c r="X77" s="1"/>
      <c r="Y77" s="1"/>
      <c r="Z77" s="1"/>
      <c r="AA77" s="1"/>
    </row>
    <row r="78" spans="1:27" ht="12.75" customHeight="1" thickBot="1">
      <c r="A78" s="39"/>
      <c r="B78" s="5"/>
      <c r="C78" s="5"/>
      <c r="D78" s="5"/>
      <c r="F78" s="311" t="s">
        <v>25</v>
      </c>
      <c r="G78" s="348">
        <f>G77*J81</f>
        <v>1.2210379712481725</v>
      </c>
      <c r="H78" s="5"/>
      <c r="I78" s="299"/>
      <c r="J78" s="23"/>
      <c r="K78" s="17"/>
      <c r="L78" s="50" t="s">
        <v>26</v>
      </c>
      <c r="M78" s="51">
        <f>IF((M81&gt;0),((100+(G83/-J88))/100))</f>
        <v>0.99081930150112374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3.5" customHeight="1" thickBot="1">
      <c r="A79" s="5"/>
      <c r="B79" s="5"/>
      <c r="C79" s="5"/>
      <c r="D79" s="5"/>
      <c r="F79" s="301" t="s">
        <v>27</v>
      </c>
      <c r="G79" s="25">
        <f>G77/J82</f>
        <v>1.2281036091460535</v>
      </c>
      <c r="H79" s="5"/>
      <c r="I79" s="308" t="s">
        <v>28</v>
      </c>
      <c r="J79" s="361">
        <f>$AT$1*Calculadora!$B$3*M75*1*(1-(G83*0.016))</f>
        <v>0.38733060480117221</v>
      </c>
      <c r="K79" s="17"/>
      <c r="L79" s="50" t="s">
        <v>29</v>
      </c>
      <c r="M79" s="51">
        <f>IF((M81&gt;0),((100+(G83/-J89))/100))</f>
        <v>0.99370466388648482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3.5" customHeight="1" thickBot="1">
      <c r="A80" s="449" t="s">
        <v>21</v>
      </c>
      <c r="B80" s="450">
        <v>1</v>
      </c>
      <c r="C80" s="451">
        <v>0.71499999999999997</v>
      </c>
      <c r="D80" s="5"/>
      <c r="F80" s="5"/>
      <c r="G80" s="5"/>
      <c r="H80" s="5"/>
      <c r="I80" s="311" t="s">
        <v>30</v>
      </c>
      <c r="J80" s="312">
        <f>$AT$1*Calculadora!$B$3*M75*1.25*(1-(G83*0.016))</f>
        <v>0.48416325600146526</v>
      </c>
      <c r="K80" s="17"/>
      <c r="L80" s="52" t="s">
        <v>52</v>
      </c>
      <c r="M80" s="52">
        <f>M75/4.25*Calculadora!$B$5</f>
        <v>0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2.75" customHeight="1" thickBot="1">
      <c r="A81" s="452" t="s">
        <v>21</v>
      </c>
      <c r="B81" s="453">
        <v>20</v>
      </c>
      <c r="C81" s="454">
        <f>C80</f>
        <v>0.71499999999999997</v>
      </c>
      <c r="D81" s="5"/>
      <c r="F81" s="8" t="s">
        <v>0</v>
      </c>
      <c r="G81" s="5"/>
      <c r="H81" s="5"/>
      <c r="I81" s="86" t="s">
        <v>31</v>
      </c>
      <c r="J81" s="349">
        <f>(100+(J79*2.75/-4))/100</f>
        <v>0.99733710209199189</v>
      </c>
      <c r="K81" s="17"/>
      <c r="L81" s="52" t="s">
        <v>53</v>
      </c>
      <c r="M81" s="52">
        <f>CC!$Q$12</f>
        <v>131.55000000000001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2.75" customHeight="1" thickBot="1">
      <c r="A82" s="449" t="s">
        <v>21</v>
      </c>
      <c r="B82" s="450">
        <v>40</v>
      </c>
      <c r="C82" s="451">
        <f>C80</f>
        <v>0.71499999999999997</v>
      </c>
      <c r="D82" s="5"/>
      <c r="F82" s="317"/>
      <c r="G82" s="322"/>
      <c r="H82" s="5"/>
      <c r="I82" s="310" t="s">
        <v>32</v>
      </c>
      <c r="J82" s="28">
        <f>(100+(J80*4/-6.25))/100</f>
        <v>0.99690135516159062</v>
      </c>
      <c r="K82" s="17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2.75" customHeight="1" thickBot="1">
      <c r="A83" s="449" t="s">
        <v>409</v>
      </c>
      <c r="B83" s="450">
        <f>Calculadora!$B$2</f>
        <v>0.86</v>
      </c>
      <c r="C83" s="455">
        <f>C80*(B83-B81)*(B83-B82)/((B80-B81)*(B80-B82))+C81*(B83-B80)*(B83-B82)/((B81-B80)*(B81-B82))+C82*(B83-B80)*(B83-B81)/((B82-B80)*(B82-B81))</f>
        <v>0.71499999999999997</v>
      </c>
      <c r="D83" s="5"/>
      <c r="F83" s="311" t="s">
        <v>7</v>
      </c>
      <c r="G83" s="312">
        <f>IF(Calculadora!$B$2&gt;0,Calculadora!$B$2*M76,Calculadora!$B$2*M77)</f>
        <v>2.2033676397303266</v>
      </c>
      <c r="H83" s="5"/>
      <c r="I83" s="17"/>
      <c r="J83" s="17"/>
      <c r="M83" s="83" t="s">
        <v>9</v>
      </c>
      <c r="N83" s="335"/>
      <c r="O83" s="40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2.75" customHeight="1" thickBot="1">
      <c r="A84" s="919"/>
      <c r="B84" s="919"/>
      <c r="C84" s="456"/>
      <c r="D84" s="5"/>
      <c r="F84" s="321"/>
      <c r="G84" s="30"/>
      <c r="H84" s="5"/>
      <c r="I84" s="352" t="s">
        <v>33</v>
      </c>
      <c r="J84" s="351">
        <f>M81+G83-J79</f>
        <v>133.36603703492915</v>
      </c>
      <c r="M84" s="84">
        <f>MOD(F88,20/72)</f>
        <v>0.13151329951745105</v>
      </c>
      <c r="N84" s="84">
        <f>MOD(F89,20/72)</f>
        <v>0.15321794813234491</v>
      </c>
      <c r="O84" s="4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2.75" customHeight="1" thickBot="1">
      <c r="A85" s="457"/>
      <c r="B85" s="458"/>
      <c r="C85" s="457"/>
      <c r="D85" s="5"/>
      <c r="F85" s="17"/>
      <c r="G85" s="17"/>
      <c r="I85" s="301" t="s">
        <v>34</v>
      </c>
      <c r="J85" s="33">
        <f>M81+G83+J80</f>
        <v>134.23753089573179</v>
      </c>
      <c r="M85" s="84">
        <f>M84/(20/72)</f>
        <v>0.47344787826282375</v>
      </c>
      <c r="N85" s="84">
        <f>N84/(20/72)</f>
        <v>0.55158461327644159</v>
      </c>
      <c r="O85" s="4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2.75" customHeight="1" thickBot="1">
      <c r="A86" s="453" t="s">
        <v>49</v>
      </c>
      <c r="B86" s="454">
        <v>-1</v>
      </c>
      <c r="C86" s="459">
        <v>0.64</v>
      </c>
      <c r="D86" s="5"/>
      <c r="M86" s="84">
        <f>IF(M85&lt;0.288,ROUNDDOWN(M85,0),ROUNDUP(M85,0))</f>
        <v>1</v>
      </c>
      <c r="N86" s="84">
        <f>IF(N85&lt;0.288,ROUNDDOWN(N85,0),ROUNDUP(N85,0))</f>
        <v>1</v>
      </c>
      <c r="O86" s="4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2.75" customHeight="1" thickBot="1">
      <c r="A87" s="453" t="s">
        <v>49</v>
      </c>
      <c r="B87" s="454">
        <v>-20</v>
      </c>
      <c r="C87" s="460">
        <f>MEDIAN(C86,C88)</f>
        <v>0.62</v>
      </c>
      <c r="E87" s="46" t="s">
        <v>46</v>
      </c>
      <c r="F87" s="46" t="s">
        <v>3</v>
      </c>
      <c r="G87" s="46" t="s">
        <v>13</v>
      </c>
      <c r="H87" s="55" t="s">
        <v>47</v>
      </c>
      <c r="J87" s="44" t="s">
        <v>48</v>
      </c>
      <c r="K87" s="44" t="s">
        <v>50</v>
      </c>
      <c r="L87" s="44" t="s">
        <v>51</v>
      </c>
      <c r="M87" s="85"/>
      <c r="N87" s="85"/>
      <c r="O87" s="4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2.75" customHeight="1" thickBot="1">
      <c r="A88" s="450" t="s">
        <v>49</v>
      </c>
      <c r="B88" s="451">
        <v>-40</v>
      </c>
      <c r="C88" s="461">
        <v>0.6</v>
      </c>
      <c r="E88" s="45" t="e">
        <f>IF(M86=0,INDEX(CB!E5:E113,(ROUNDDOWN(((F88-70)/(20/72)+1),0)),1),INDEX(CB!E5:E113,(ROUNDUP(((F88-70)/(20/72))+1,0)),1))</f>
        <v>#VALUE!</v>
      </c>
      <c r="F88" s="48">
        <f>IF(J84&lt;=C76,80+(J84-D76)/((C76-D76)/10),90+(J84-C76)/((B76-C76)/10))</f>
        <v>66.242624410628565</v>
      </c>
      <c r="G88" s="48">
        <f>G78+M80</f>
        <v>1.2210379712481725</v>
      </c>
      <c r="H88" s="45">
        <f>N88</f>
        <v>8</v>
      </c>
      <c r="I88" s="53" t="s">
        <v>21</v>
      </c>
      <c r="J88" s="45">
        <v>2.4</v>
      </c>
      <c r="K88" s="45">
        <v>1.01268</v>
      </c>
      <c r="L88" s="463">
        <f>C83</f>
        <v>0.71499999999999997</v>
      </c>
      <c r="M88" s="52" t="s">
        <v>4</v>
      </c>
      <c r="N88" s="52">
        <f>IF(M84&lt;0.08,9,N89)</f>
        <v>8</v>
      </c>
      <c r="O88" s="313">
        <f>IF(N84&lt;0.08,9,O89)</f>
        <v>8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2.75" customHeight="1" thickBot="1">
      <c r="A89" s="450" t="s">
        <v>410</v>
      </c>
      <c r="B89" s="451">
        <f>Calculadora!$B$2</f>
        <v>0.86</v>
      </c>
      <c r="C89" s="455">
        <f>C86*(B89-B87)*(B89-B88)/((B86-B87)*(B86-B88))+C87*(B89-B86)*(B89-B88)/((B87-B86)*(B87-B88))+C88*(B89-B86)*(B89-B87)/((B88-B86)*(B88-B87))</f>
        <v>0.64201025587044536</v>
      </c>
      <c r="E89" s="47" t="e">
        <f>IF(N86=0,INDEX(CB!E5:E113,(ROUNDDOWN(((F89-70)/(20/72)+1),0)),1),INDEX(CB!E5:E113,(ROUNDUP(((F89-70)/(20/72))+1,0)),1))</f>
        <v>#VALUE!</v>
      </c>
      <c r="F89" s="49">
        <f>IF(J85&lt;=C76,80+(J85-D76)/((C76-D76)/10),90+(J85-C76)/((B76-C76)/10))</f>
        <v>66.542106837021237</v>
      </c>
      <c r="G89" s="49">
        <f>G79+M80</f>
        <v>1.2281036091460535</v>
      </c>
      <c r="H89" s="47">
        <f>O88</f>
        <v>8</v>
      </c>
      <c r="I89" s="54" t="s">
        <v>49</v>
      </c>
      <c r="J89" s="47">
        <v>3.5</v>
      </c>
      <c r="K89" s="47">
        <v>1.0118</v>
      </c>
      <c r="L89" s="464">
        <f>C89</f>
        <v>0.64201025587044536</v>
      </c>
      <c r="M89" s="333"/>
      <c r="N89" s="86">
        <f>IF(M84&gt;(20/72)-0.08,9,8)</f>
        <v>8</v>
      </c>
      <c r="O89" s="56">
        <f>IF(N84&gt;(20/72)-0.08,9,8)</f>
        <v>8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3.5" customHeight="1">
      <c r="A90" s="5"/>
      <c r="B90" s="5"/>
      <c r="C90" s="5"/>
      <c r="D90" s="5"/>
      <c r="E90" s="5"/>
      <c r="K90" s="448">
        <v>1.0118</v>
      </c>
      <c r="L90" s="448">
        <v>0.6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3.5" customHeight="1" thickBot="1">
      <c r="D92" s="5"/>
      <c r="E92" s="5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2.75" customHeight="1" thickBot="1">
      <c r="A93" s="366" t="s">
        <v>35</v>
      </c>
      <c r="B93" s="362">
        <v>1</v>
      </c>
      <c r="C93" s="363">
        <v>0.9</v>
      </c>
      <c r="D93" s="38">
        <v>0.8</v>
      </c>
      <c r="F93" s="8" t="s">
        <v>18</v>
      </c>
      <c r="G93" s="9"/>
      <c r="H93" s="5"/>
      <c r="I93" s="8" t="s">
        <v>1</v>
      </c>
      <c r="J93" s="10"/>
      <c r="K93" s="5"/>
      <c r="L93" s="52" t="s">
        <v>18</v>
      </c>
      <c r="M93" s="50">
        <f>B95*(M99-C94)*(M99-D94)/((B94-C94)*(B94-D94))+C95*(M99-B94)*(M99-D94)/((C94-B94)*(C94-D94))+D95*(M99-B94)*(M99-C94)/((D94-B94)*(D94-C94))</f>
        <v>0.44215331524045665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2.75" customHeight="1" thickBot="1">
      <c r="A94" s="296" t="s">
        <v>8</v>
      </c>
      <c r="B94" s="331">
        <v>215.5</v>
      </c>
      <c r="C94" s="52">
        <v>187.7</v>
      </c>
      <c r="D94" s="313">
        <v>161.6</v>
      </c>
      <c r="F94" s="347" t="s">
        <v>20</v>
      </c>
      <c r="G94" s="305">
        <f>M93*$AO$2*Calculadora!$B$3</f>
        <v>1.6820511666437661</v>
      </c>
      <c r="H94" s="5"/>
      <c r="I94" s="336"/>
      <c r="J94" s="316"/>
      <c r="K94" s="17"/>
      <c r="L94" s="50" t="s">
        <v>21</v>
      </c>
      <c r="M94" s="51">
        <f>L106*POWER(K106,(B94-M99))</f>
        <v>1.8801698681101624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2.75" customHeight="1" thickBot="1">
      <c r="A95" s="293" t="s">
        <v>18</v>
      </c>
      <c r="B95" s="329">
        <v>1.119</v>
      </c>
      <c r="C95" s="86">
        <v>0.8</v>
      </c>
      <c r="D95" s="349">
        <v>0.58599999999999997</v>
      </c>
      <c r="F95" s="329" t="s">
        <v>22</v>
      </c>
      <c r="G95" s="343">
        <f>IF(G101&gt;0,G94*M96,G94*M97)</f>
        <v>1.6709499990873453</v>
      </c>
      <c r="H95" s="5"/>
      <c r="I95" s="329" t="s">
        <v>23</v>
      </c>
      <c r="J95" s="349">
        <f>M93*Calculadora!$B$3*$AO$1</f>
        <v>0.54653155411409826</v>
      </c>
      <c r="K95" s="17"/>
      <c r="L95" s="50" t="s">
        <v>24</v>
      </c>
      <c r="M95" s="51">
        <f>L107*POWER(K107,(B94-M99))</f>
        <v>1.5044175034836809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2.75" customHeight="1" thickBot="1">
      <c r="A96" s="5"/>
      <c r="B96" s="5"/>
      <c r="C96" s="5"/>
      <c r="D96" s="5"/>
      <c r="F96" s="311" t="s">
        <v>25</v>
      </c>
      <c r="G96" s="348">
        <f>G95*J99</f>
        <v>1.6648339944036943</v>
      </c>
      <c r="H96" s="5"/>
      <c r="I96" s="299"/>
      <c r="J96" s="23"/>
      <c r="K96" s="17"/>
      <c r="L96" s="50" t="s">
        <v>26</v>
      </c>
      <c r="M96" s="51">
        <f>IF((M99&gt;0),((100+(G101/-J106))/100))</f>
        <v>0.993400220054797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2.75" customHeight="1" thickBot="1">
      <c r="A97" s="5"/>
      <c r="B97" s="5"/>
      <c r="C97" s="5"/>
      <c r="D97" s="5"/>
      <c r="F97" s="301" t="s">
        <v>27</v>
      </c>
      <c r="G97" s="25">
        <f>G95/J100</f>
        <v>1.6755962193608407</v>
      </c>
      <c r="H97" s="5"/>
      <c r="I97" s="308" t="s">
        <v>28</v>
      </c>
      <c r="J97" s="361">
        <f>$AT$1*Calculadora!$B$3*M93*1*(1-(G101*0.016))</f>
        <v>0.53239216119226784</v>
      </c>
      <c r="K97" s="17"/>
      <c r="L97" s="50" t="s">
        <v>29</v>
      </c>
      <c r="M97" s="51">
        <f>IF((M99&gt;0),((100+(G101/-J107))/100))</f>
        <v>0.99265024506102395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2.75" customHeight="1" thickBot="1">
      <c r="A98" s="449" t="s">
        <v>21</v>
      </c>
      <c r="B98" s="450">
        <v>1</v>
      </c>
      <c r="C98" s="451">
        <v>0.68500000000000005</v>
      </c>
      <c r="D98" s="5"/>
      <c r="F98" s="5"/>
      <c r="G98" s="5"/>
      <c r="H98" s="5"/>
      <c r="I98" s="300" t="s">
        <v>30</v>
      </c>
      <c r="J98" s="26">
        <f>$AT$1*Calculadora!$B$3*M93*1.25*(1-(G101*0.016))</f>
        <v>0.66549020149033478</v>
      </c>
      <c r="K98" s="17"/>
      <c r="L98" s="52" t="s">
        <v>52</v>
      </c>
      <c r="M98" s="52">
        <f>M93/4.25*Calculadora!$B$5</f>
        <v>0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2.75" customHeight="1" thickBot="1">
      <c r="A99" s="452" t="s">
        <v>21</v>
      </c>
      <c r="B99" s="453">
        <v>20</v>
      </c>
      <c r="C99" s="454">
        <f>C98</f>
        <v>0.68500000000000005</v>
      </c>
      <c r="D99" s="5"/>
      <c r="F99" s="8" t="s">
        <v>0</v>
      </c>
      <c r="G99" s="5"/>
      <c r="H99" s="5"/>
      <c r="I99" s="52" t="s">
        <v>31</v>
      </c>
      <c r="J99" s="313">
        <f>(100+(J97*2.75/-4))/100</f>
        <v>0.99633980389180321</v>
      </c>
      <c r="K99" s="17"/>
      <c r="L99" s="52" t="s">
        <v>53</v>
      </c>
      <c r="M99" s="52">
        <f>CC!$Q$12</f>
        <v>131.55000000000001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2.75" customHeight="1" thickBot="1">
      <c r="A100" s="449" t="s">
        <v>21</v>
      </c>
      <c r="B100" s="450">
        <v>40</v>
      </c>
      <c r="C100" s="451">
        <f>C98</f>
        <v>0.68500000000000005</v>
      </c>
      <c r="D100" s="5"/>
      <c r="F100" s="317"/>
      <c r="G100" s="322"/>
      <c r="H100" s="5"/>
      <c r="I100" s="310" t="s">
        <v>32</v>
      </c>
      <c r="J100" s="28">
        <f>(100+(J98*2.5/-6))/100</f>
        <v>0.997227124160457</v>
      </c>
      <c r="K100" s="17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3.5" customHeight="1" thickBot="1">
      <c r="A101" s="449" t="s">
        <v>409</v>
      </c>
      <c r="B101" s="450">
        <f>Calculadora!$B$2</f>
        <v>0.86</v>
      </c>
      <c r="C101" s="455">
        <f>C98*(B101-B99)*(B101-B100)/((B98-B99)*(B98-B100))+C99*(B101-B98)*(B101-B100)/((B99-B98)*(B99-B100))+C100*(B101-B98)*(B101-B99)/((B100-B98)*(B100-B99))</f>
        <v>0.68500000000000016</v>
      </c>
      <c r="D101" s="5"/>
      <c r="F101" s="311" t="s">
        <v>7</v>
      </c>
      <c r="G101" s="312">
        <f>IF(Calculadora!$B$2&gt;0,Calculadora!$B$2*M94,Calculadora!$B$2*M95)</f>
        <v>1.6169460865747396</v>
      </c>
      <c r="H101" s="5"/>
      <c r="I101" s="17"/>
      <c r="J101" s="17"/>
      <c r="M101" s="83" t="s">
        <v>9</v>
      </c>
      <c r="N101" s="335"/>
      <c r="O101" s="40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2.75" customHeight="1" thickBot="1">
      <c r="A102" s="919"/>
      <c r="B102" s="919"/>
      <c r="C102" s="456"/>
      <c r="D102" s="5"/>
      <c r="F102" s="321"/>
      <c r="G102" s="30"/>
      <c r="H102" s="5"/>
      <c r="I102" s="352" t="s">
        <v>33</v>
      </c>
      <c r="J102" s="351">
        <f>M99+G101-J97</f>
        <v>132.63455392538248</v>
      </c>
      <c r="M102" s="84">
        <f>MOD(F106,20/72)</f>
        <v>1.3239051870677976E-2</v>
      </c>
      <c r="N102" s="84">
        <f>MOD(F107,20/72)</f>
        <v>0.19442003374141048</v>
      </c>
      <c r="O102" s="4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2.75" customHeight="1" thickBot="1">
      <c r="A103" s="457"/>
      <c r="B103" s="458"/>
      <c r="C103" s="457"/>
      <c r="D103" s="5"/>
      <c r="F103" s="17"/>
      <c r="G103" s="17"/>
      <c r="I103" s="301" t="s">
        <v>34</v>
      </c>
      <c r="J103" s="33">
        <f>M99+G101+J98</f>
        <v>133.83243628806508</v>
      </c>
      <c r="M103" s="84">
        <f>M102/(20/72)</f>
        <v>4.7660586734440707E-2</v>
      </c>
      <c r="N103" s="84">
        <f>N102/(20/72)</f>
        <v>0.69991212146907766</v>
      </c>
      <c r="O103" s="4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2.75" customHeight="1" thickBot="1">
      <c r="A104" s="453" t="s">
        <v>49</v>
      </c>
      <c r="B104" s="454">
        <v>-1</v>
      </c>
      <c r="C104" s="459">
        <v>0.65</v>
      </c>
      <c r="D104" s="5"/>
      <c r="M104" s="84">
        <f>IF(M103&lt;0.288,ROUNDDOWN(M103,0),ROUNDUP(M103,0))</f>
        <v>0</v>
      </c>
      <c r="N104" s="84">
        <f>IF(N103&lt;0.288,ROUNDDOWN(N103,0),ROUNDUP(N103,0))</f>
        <v>1</v>
      </c>
      <c r="O104" s="4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3.5" customHeight="1" thickBot="1">
      <c r="A105" s="453" t="s">
        <v>49</v>
      </c>
      <c r="B105" s="454">
        <v>-20</v>
      </c>
      <c r="C105" s="460">
        <f>MEDIAN(C104,C106)</f>
        <v>0.625</v>
      </c>
      <c r="E105" s="46" t="s">
        <v>46</v>
      </c>
      <c r="F105" s="46" t="s">
        <v>3</v>
      </c>
      <c r="G105" s="46" t="s">
        <v>13</v>
      </c>
      <c r="H105" s="55" t="s">
        <v>47</v>
      </c>
      <c r="J105" s="44" t="s">
        <v>48</v>
      </c>
      <c r="K105" s="44" t="s">
        <v>50</v>
      </c>
      <c r="L105" s="44" t="s">
        <v>51</v>
      </c>
      <c r="M105" s="85"/>
      <c r="N105" s="85"/>
      <c r="O105" s="41"/>
      <c r="T105" s="1"/>
      <c r="U105" s="1"/>
      <c r="V105" s="1"/>
      <c r="W105" s="1"/>
      <c r="X105" s="1"/>
      <c r="Y105" s="1"/>
      <c r="Z105" s="1"/>
      <c r="AA105" s="1"/>
    </row>
    <row r="106" spans="1:27" ht="13.5" customHeight="1" thickBot="1">
      <c r="A106" s="450" t="s">
        <v>49</v>
      </c>
      <c r="B106" s="451">
        <v>-40</v>
      </c>
      <c r="C106" s="461">
        <v>0.6</v>
      </c>
      <c r="E106" s="45" t="e">
        <f>IF(M104=0,INDEX(CB!H5:H113,(ROUNDDOWN(((F106-70)/(20/72)+1),0)),1),INDEX(CB!H5:H113,(ROUNDUP(((F106-70)/(20/72))+1,0)),1))</f>
        <v>#VALUE!</v>
      </c>
      <c r="F106" s="48">
        <f>IF(J102&lt;=C94,80+(J102-D94)/((C94-D94)/10),90+(J102-C94)/((B94-C94)/10))</f>
        <v>68.90212794075957</v>
      </c>
      <c r="G106" s="48">
        <f>G96+M98</f>
        <v>1.6648339944036943</v>
      </c>
      <c r="H106" s="45">
        <f>N106</f>
        <v>9</v>
      </c>
      <c r="I106" s="53" t="s">
        <v>21</v>
      </c>
      <c r="J106" s="45">
        <v>2.4500000000000002</v>
      </c>
      <c r="K106" s="45">
        <v>1.0121</v>
      </c>
      <c r="L106" s="463">
        <f>C101</f>
        <v>0.68500000000000016</v>
      </c>
      <c r="M106" s="52" t="s">
        <v>4</v>
      </c>
      <c r="N106" s="52">
        <f>IF(M102&lt;0.08,9,N107)</f>
        <v>9</v>
      </c>
      <c r="O106" s="313">
        <f>IF(N102&lt;0.08,9,O107)</f>
        <v>8</v>
      </c>
      <c r="P106" s="5"/>
      <c r="Q106" s="5"/>
      <c r="R106" s="5"/>
      <c r="S106" s="5"/>
      <c r="T106" s="1"/>
      <c r="U106" s="1"/>
      <c r="V106" s="1"/>
      <c r="W106" s="1"/>
      <c r="X106" s="1"/>
      <c r="Y106" s="1"/>
      <c r="Z106" s="1"/>
      <c r="AA106" s="1"/>
    </row>
    <row r="107" spans="1:27" ht="13.5" customHeight="1" thickBot="1">
      <c r="A107" s="450" t="s">
        <v>410</v>
      </c>
      <c r="B107" s="451">
        <f>Calculadora!$B$2</f>
        <v>0.86</v>
      </c>
      <c r="C107" s="455">
        <f>C104*(B107-B105)*(B107-B106)/((B104-B105)*(B104-B106))+C105*(B107-B104)*(B107-B106)/((B105-B104)*(B105-B106))+C106*(B107-B104)*(B107-B105)/((B106-B104)*(B106-B105))</f>
        <v>0.65251281983805665</v>
      </c>
      <c r="E107" s="172" t="e">
        <f>IF(N104=0,INDEX(CB!H5:H113,(ROUNDDOWN(((F107-70)/(20/72)+1),0)),1),INDEX(CB!H5:H113,(ROUNDUP(((F107-70)/(20/72))+1,0)),1))</f>
        <v>#VALUE!</v>
      </c>
      <c r="F107" s="49">
        <f>IF(J103&lt;=C94,80+(J103-D94)/((C94-D94)/10),90+(J103-C94)/((B94-C94)/10))</f>
        <v>69.36108670040808</v>
      </c>
      <c r="G107" s="49">
        <f>G97+M98</f>
        <v>1.6755962193608407</v>
      </c>
      <c r="H107" s="47">
        <f>O106</f>
        <v>8</v>
      </c>
      <c r="I107" s="54" t="s">
        <v>49</v>
      </c>
      <c r="J107" s="47">
        <v>2.2000000000000002</v>
      </c>
      <c r="K107" s="47">
        <v>1.01</v>
      </c>
      <c r="L107" s="464">
        <f>C107</f>
        <v>0.65251281983805665</v>
      </c>
      <c r="M107" s="333"/>
      <c r="N107" s="86">
        <f>IF(M102&gt;(20/72)-0.08,9,8)</f>
        <v>8</v>
      </c>
      <c r="O107" s="56">
        <f>IF(N102&gt;(20/72)-0.08,9,8)</f>
        <v>8</v>
      </c>
      <c r="T107" s="1"/>
      <c r="U107" s="1"/>
      <c r="V107" s="1"/>
      <c r="W107" s="1"/>
      <c r="X107" s="1"/>
      <c r="Y107" s="1"/>
      <c r="Z107" s="1"/>
      <c r="AA107" s="1"/>
    </row>
    <row r="108" spans="1:27" ht="12.75" customHeight="1">
      <c r="T108" s="1"/>
      <c r="U108" s="1"/>
      <c r="V108" s="1"/>
      <c r="W108" s="1"/>
      <c r="X108" s="1"/>
      <c r="Y108" s="1"/>
      <c r="Z108" s="1"/>
      <c r="AA108" s="1"/>
    </row>
    <row r="109" spans="1:27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36"/>
      <c r="L109" s="37"/>
      <c r="M109" s="37"/>
      <c r="N109" s="37"/>
      <c r="O109" s="37"/>
      <c r="T109" s="1"/>
      <c r="U109" s="1"/>
      <c r="V109" s="1"/>
      <c r="W109" s="1"/>
      <c r="X109" s="1"/>
      <c r="Y109" s="1"/>
      <c r="Z109" s="1"/>
      <c r="AA109" s="1"/>
    </row>
    <row r="110" spans="1:27" ht="12.75" customHeight="1" thickBot="1">
      <c r="T110" s="1"/>
      <c r="U110" s="1"/>
      <c r="V110" s="1"/>
      <c r="W110" s="1"/>
      <c r="X110" s="1"/>
      <c r="Y110" s="1"/>
      <c r="Z110" s="1"/>
      <c r="AA110" s="1"/>
    </row>
    <row r="111" spans="1:27" ht="12.75" customHeight="1" thickBot="1">
      <c r="A111" s="366" t="s">
        <v>42</v>
      </c>
      <c r="B111" s="369">
        <v>1</v>
      </c>
      <c r="C111" s="368">
        <v>0.9</v>
      </c>
      <c r="D111" s="365">
        <v>0.8</v>
      </c>
      <c r="F111" s="8" t="s">
        <v>18</v>
      </c>
      <c r="G111" s="9"/>
      <c r="H111" s="5"/>
      <c r="I111" s="8" t="s">
        <v>1</v>
      </c>
      <c r="J111" s="10"/>
      <c r="K111" s="5"/>
      <c r="L111" s="52" t="s">
        <v>18</v>
      </c>
      <c r="M111" s="50">
        <f>B113*(M117-C112)*(M117-D112)/((B112-C112)*(B112-D112))+C113*(M117-B112)*(M117-D112)/((C112-B112)*(C112-D112))+D113*(M117-B112)*(M117-C112)/((D112-B112)*(D112-C112))</f>
        <v>0.36011991729383741</v>
      </c>
      <c r="T111" s="1"/>
      <c r="U111" s="1"/>
      <c r="V111" s="1"/>
      <c r="W111" s="1"/>
      <c r="X111" s="1"/>
      <c r="Y111" s="1"/>
      <c r="Z111" s="1"/>
      <c r="AA111" s="1"/>
    </row>
    <row r="112" spans="1:27" ht="12.75" customHeight="1" thickBot="1">
      <c r="A112" s="367" t="s">
        <v>8</v>
      </c>
      <c r="B112" s="52">
        <v>268.33999999999997</v>
      </c>
      <c r="C112" s="313">
        <v>240.5</v>
      </c>
      <c r="D112" s="313">
        <v>213</v>
      </c>
      <c r="F112" s="298" t="s">
        <v>20</v>
      </c>
      <c r="G112" s="14">
        <f>M111*$AO$2*Calculadora!$B$3</f>
        <v>1.3699775759599033</v>
      </c>
      <c r="H112" s="5"/>
      <c r="I112" s="317"/>
      <c r="J112" s="318"/>
      <c r="K112" s="17"/>
      <c r="L112" s="50" t="s">
        <v>21</v>
      </c>
      <c r="M112" s="51">
        <f>K124*POWER(J124,(B112-M117))</f>
        <v>2.7316552921145001</v>
      </c>
      <c r="T112" s="1"/>
      <c r="U112" s="1"/>
      <c r="V112" s="1"/>
      <c r="W112" s="1"/>
      <c r="X112" s="1"/>
      <c r="Y112" s="1"/>
      <c r="Z112" s="1"/>
      <c r="AA112" s="1"/>
    </row>
    <row r="113" spans="1:27" ht="12.75" customHeight="1" thickBot="1">
      <c r="A113" s="364" t="s">
        <v>18</v>
      </c>
      <c r="B113" s="86">
        <v>1.2150000000000001</v>
      </c>
      <c r="C113" s="56">
        <v>0.90700000000000003</v>
      </c>
      <c r="D113" s="56">
        <v>0.67</v>
      </c>
      <c r="F113" s="52" t="s">
        <v>22</v>
      </c>
      <c r="G113" s="328">
        <f>IF(G119&gt;0,G112*M114,G112*M115)</f>
        <v>1.3592496306729493</v>
      </c>
      <c r="H113" s="5"/>
      <c r="I113" s="329" t="s">
        <v>23</v>
      </c>
      <c r="J113" s="349">
        <f>M111*Calculadora!$B$3*$AO$1</f>
        <v>0.44513269782678516</v>
      </c>
      <c r="K113" s="17"/>
      <c r="L113" s="50" t="s">
        <v>24</v>
      </c>
      <c r="M113" s="51">
        <f>K125*POWER(J125,(B112-M117))</f>
        <v>2.8090357616306605</v>
      </c>
      <c r="T113" s="1"/>
      <c r="U113" s="1"/>
      <c r="V113" s="1"/>
      <c r="W113" s="1"/>
      <c r="X113" s="1"/>
      <c r="Y113" s="1"/>
      <c r="Z113" s="1"/>
      <c r="AA113" s="1"/>
    </row>
    <row r="114" spans="1:27" ht="13.5" customHeight="1" thickBot="1">
      <c r="A114" s="445" t="s">
        <v>264</v>
      </c>
      <c r="B114" s="445">
        <v>269.3</v>
      </c>
      <c r="C114" s="445">
        <v>241.55</v>
      </c>
      <c r="D114" s="445">
        <v>214.92</v>
      </c>
      <c r="F114" s="308" t="s">
        <v>25</v>
      </c>
      <c r="G114" s="370">
        <f>G113*J117</f>
        <v>1.3552462891260038</v>
      </c>
      <c r="H114" s="5"/>
      <c r="I114" s="299"/>
      <c r="J114" s="23"/>
      <c r="K114" s="17"/>
      <c r="L114" s="50" t="s">
        <v>26</v>
      </c>
      <c r="M114" s="51">
        <f>IF((M117&gt;0),((100+(G119/-I124))/100))</f>
        <v>0.99216925482927176</v>
      </c>
      <c r="T114" s="1"/>
      <c r="U114" s="1"/>
      <c r="V114" s="1"/>
      <c r="W114" s="1"/>
      <c r="X114" s="1"/>
      <c r="Y114" s="1"/>
      <c r="Z114" s="1"/>
      <c r="AA114" s="1"/>
    </row>
    <row r="115" spans="1:27" ht="12.75" customHeight="1" thickBot="1">
      <c r="A115" s="5"/>
      <c r="F115" s="301" t="s">
        <v>27</v>
      </c>
      <c r="G115" s="25">
        <f>G113/J118</f>
        <v>1.3639240848085541</v>
      </c>
      <c r="H115" s="5"/>
      <c r="I115" s="308" t="s">
        <v>28</v>
      </c>
      <c r="J115" s="361">
        <f>$AT$1*Calculadora!$B$3*M111*1*(1-(G119*0.016))</f>
        <v>0.42840123835235155</v>
      </c>
      <c r="K115" s="17"/>
      <c r="L115" s="50" t="s">
        <v>29</v>
      </c>
      <c r="M115" s="51">
        <f>IF((M117&gt;0),((100+(G119/-I125))/100))</f>
        <v>0.99145736890466007</v>
      </c>
      <c r="T115" s="1"/>
      <c r="U115" s="1"/>
      <c r="V115" s="1"/>
      <c r="W115" s="1"/>
      <c r="X115" s="1"/>
      <c r="Y115" s="1"/>
      <c r="Z115" s="1"/>
      <c r="AA115" s="1"/>
    </row>
    <row r="116" spans="1:27" ht="13.5" customHeight="1" thickBot="1">
      <c r="A116" s="449" t="s">
        <v>21</v>
      </c>
      <c r="B116" s="450">
        <v>1</v>
      </c>
      <c r="C116" s="451">
        <v>0.62</v>
      </c>
      <c r="D116" s="5"/>
      <c r="F116" s="5"/>
      <c r="G116" s="5"/>
      <c r="H116" s="5"/>
      <c r="I116" s="308" t="s">
        <v>30</v>
      </c>
      <c r="J116" s="361">
        <f>$AT$1*Calculadora!$B$3*M111*1.25*(1-(G119*0.016))</f>
        <v>0.53550154794043947</v>
      </c>
      <c r="K116" s="17"/>
      <c r="L116" s="52" t="s">
        <v>52</v>
      </c>
      <c r="M116" s="52">
        <f>M111/4.4*Calculadora!$B$5</f>
        <v>0</v>
      </c>
      <c r="P116" s="5"/>
      <c r="Q116" s="5"/>
      <c r="R116" s="5"/>
      <c r="S116" s="5"/>
      <c r="T116" s="1"/>
      <c r="U116" s="1"/>
      <c r="V116" s="1"/>
      <c r="W116" s="1"/>
      <c r="X116" s="1"/>
      <c r="Y116" s="1"/>
      <c r="Z116" s="1"/>
      <c r="AA116" s="1"/>
    </row>
    <row r="117" spans="1:27" ht="13.5" customHeight="1" thickBot="1">
      <c r="A117" s="452" t="s">
        <v>21</v>
      </c>
      <c r="B117" s="453">
        <v>20</v>
      </c>
      <c r="C117" s="454">
        <f>C116</f>
        <v>0.62</v>
      </c>
      <c r="D117" s="5"/>
      <c r="F117" s="8" t="s">
        <v>0</v>
      </c>
      <c r="G117" s="5"/>
      <c r="H117" s="5"/>
      <c r="I117" s="329" t="s">
        <v>31</v>
      </c>
      <c r="J117" s="349">
        <f>(100+(J115*2.75/-4))/100</f>
        <v>0.99705474148632756</v>
      </c>
      <c r="K117" s="17"/>
      <c r="L117" s="52" t="s">
        <v>53</v>
      </c>
      <c r="M117" s="52">
        <f>CC!$O$12</f>
        <v>131.55000000000001</v>
      </c>
      <c r="P117" s="5"/>
      <c r="Q117" s="5"/>
      <c r="R117" s="5"/>
      <c r="S117" s="5"/>
      <c r="T117" s="1"/>
      <c r="U117" s="1"/>
      <c r="V117" s="1"/>
      <c r="W117" s="1"/>
      <c r="X117" s="1"/>
      <c r="Y117" s="1"/>
      <c r="Z117" s="1"/>
      <c r="AA117" s="1"/>
    </row>
    <row r="118" spans="1:27" ht="13.5" customHeight="1" thickBot="1">
      <c r="A118" s="449" t="s">
        <v>21</v>
      </c>
      <c r="B118" s="450">
        <v>40</v>
      </c>
      <c r="C118" s="451">
        <f>C116</f>
        <v>0.62</v>
      </c>
      <c r="D118" s="5"/>
      <c r="F118" s="317"/>
      <c r="G118" s="322"/>
      <c r="H118" s="5"/>
      <c r="I118" s="310" t="s">
        <v>32</v>
      </c>
      <c r="J118" s="28">
        <f>(100+(J116*4/-6.25))/100</f>
        <v>0.99657279009318112</v>
      </c>
      <c r="K118" s="17"/>
      <c r="Q118" s="5"/>
      <c r="R118" s="5"/>
      <c r="S118" s="5"/>
      <c r="T118" s="1"/>
      <c r="U118" s="1"/>
      <c r="V118" s="1"/>
      <c r="W118" s="1"/>
      <c r="X118" s="1"/>
      <c r="Y118" s="1"/>
      <c r="Z118" s="1"/>
      <c r="AA118" s="1"/>
    </row>
    <row r="119" spans="1:27" ht="12.75" customHeight="1" thickBot="1">
      <c r="A119" s="449" t="s">
        <v>409</v>
      </c>
      <c r="B119" s="450">
        <f>Calculadora!$B$2</f>
        <v>0.86</v>
      </c>
      <c r="C119" s="455">
        <f>C116*(B119-B117)*(B119-B118)/((B116-B117)*(B116-B118))+C117*(B119-B116)*(B119-B118)/((B117-B116)*(B117-B118))+C118*(B119-B116)*(B119-B117)/((B118-B116)*(B118-B117))</f>
        <v>0.62</v>
      </c>
      <c r="D119" s="5"/>
      <c r="F119" s="303" t="s">
        <v>7</v>
      </c>
      <c r="G119" s="323">
        <f>IF(Calculadora!$B$2&gt;0,Calculadora!$B$2*M112,Calculadora!$B$2*M113)</f>
        <v>2.3492235512184698</v>
      </c>
      <c r="H119" s="5"/>
      <c r="I119" s="17"/>
      <c r="J119" s="17"/>
      <c r="T119" s="1"/>
      <c r="U119" s="1"/>
      <c r="V119" s="1"/>
      <c r="W119" s="1"/>
      <c r="X119" s="1"/>
      <c r="Y119" s="1"/>
      <c r="Z119" s="1"/>
      <c r="AA119" s="1"/>
    </row>
    <row r="120" spans="1:27" ht="12.75" customHeight="1" thickBot="1">
      <c r="A120" s="919"/>
      <c r="B120" s="919"/>
      <c r="C120" s="456"/>
      <c r="D120" s="5"/>
      <c r="F120" s="321"/>
      <c r="G120" s="30"/>
      <c r="H120" s="5"/>
      <c r="I120" s="352" t="s">
        <v>33</v>
      </c>
      <c r="J120" s="351">
        <f>M117+G119-J115</f>
        <v>133.47082231286612</v>
      </c>
      <c r="T120" s="1"/>
      <c r="U120" s="1"/>
      <c r="V120" s="1"/>
      <c r="W120" s="1"/>
      <c r="X120" s="1"/>
      <c r="Y120" s="1"/>
      <c r="Z120" s="1"/>
      <c r="AA120" s="1"/>
    </row>
    <row r="121" spans="1:27" ht="12.75" customHeight="1" thickBot="1">
      <c r="A121" s="457"/>
      <c r="B121" s="458"/>
      <c r="C121" s="457"/>
      <c r="D121" s="5"/>
      <c r="F121" s="17"/>
      <c r="G121" s="17"/>
      <c r="I121" s="301" t="s">
        <v>34</v>
      </c>
      <c r="J121" s="33">
        <f>M117+G119+J116</f>
        <v>134.43472509915892</v>
      </c>
      <c r="T121" s="1"/>
      <c r="U121" s="1"/>
      <c r="V121" s="1"/>
      <c r="W121" s="1"/>
      <c r="X121" s="1"/>
      <c r="Y121" s="1"/>
      <c r="Z121" s="1"/>
      <c r="AA121" s="1"/>
    </row>
    <row r="122" spans="1:27" ht="12.75" customHeight="1" thickBot="1">
      <c r="A122" s="453" t="s">
        <v>49</v>
      </c>
      <c r="B122" s="454">
        <v>-1</v>
      </c>
      <c r="C122" s="459">
        <v>0.49</v>
      </c>
      <c r="T122" s="1"/>
      <c r="U122" s="1"/>
      <c r="V122" s="1"/>
      <c r="W122" s="1"/>
      <c r="X122" s="1"/>
      <c r="Y122" s="1"/>
      <c r="Z122" s="1"/>
      <c r="AA122" s="1"/>
    </row>
    <row r="123" spans="1:27" ht="12.75" customHeight="1" thickBot="1">
      <c r="A123" s="453" t="s">
        <v>49</v>
      </c>
      <c r="B123" s="454">
        <v>-20</v>
      </c>
      <c r="C123" s="460">
        <f>MEDIAN(C122,C124)</f>
        <v>0.48399999999999999</v>
      </c>
      <c r="E123" s="46" t="s">
        <v>46</v>
      </c>
      <c r="F123" s="46" t="s">
        <v>3</v>
      </c>
      <c r="G123" s="46" t="s">
        <v>13</v>
      </c>
      <c r="I123" s="44" t="s">
        <v>48</v>
      </c>
      <c r="J123" s="44" t="s">
        <v>50</v>
      </c>
      <c r="K123" s="44" t="s">
        <v>51</v>
      </c>
      <c r="T123" s="1"/>
      <c r="U123" s="1"/>
      <c r="V123" s="1"/>
      <c r="W123" s="1"/>
      <c r="X123" s="1"/>
      <c r="Y123" s="1"/>
      <c r="Z123" s="1"/>
      <c r="AA123" s="1"/>
    </row>
    <row r="124" spans="1:27" ht="12.75" customHeight="1" thickBot="1">
      <c r="A124" s="450" t="s">
        <v>49</v>
      </c>
      <c r="B124" s="451">
        <v>-40</v>
      </c>
      <c r="C124" s="461">
        <v>0.47799999999999998</v>
      </c>
      <c r="E124" s="171" t="e">
        <f>INDEX(CB!I41:I113,(ROUNDUP(((F124-80)/(20/72))+1,0)),1)</f>
        <v>#VALUE!</v>
      </c>
      <c r="F124" s="48">
        <f>IF(J120&lt;=C112,80+(J120-D112)/((C112-D112)/10),90+(J120-C112)/((B112-C112)/10))</f>
        <v>51.080299022860402</v>
      </c>
      <c r="G124" s="48">
        <f>G114+M116</f>
        <v>1.3552462891260038</v>
      </c>
      <c r="H124" s="53" t="s">
        <v>21</v>
      </c>
      <c r="I124" s="45">
        <v>3</v>
      </c>
      <c r="J124" s="45">
        <v>1.0108999999999999</v>
      </c>
      <c r="K124" s="463">
        <f>C119</f>
        <v>0.62</v>
      </c>
      <c r="T124" s="1"/>
      <c r="U124" s="1"/>
      <c r="V124" s="1"/>
      <c r="W124" s="1"/>
      <c r="X124" s="1"/>
      <c r="Y124" s="1"/>
      <c r="Z124" s="1"/>
      <c r="AA124" s="1"/>
    </row>
    <row r="125" spans="1:27" ht="12.75" customHeight="1" thickBot="1">
      <c r="A125" s="450" t="s">
        <v>410</v>
      </c>
      <c r="B125" s="451">
        <f>Calculadora!$B$2</f>
        <v>0.86</v>
      </c>
      <c r="C125" s="455">
        <f>C122*(B125-B123)*(B125-B124)/((B122-B123)*(B122-B124))+C123*(B125-B122)*(B125-B124)/((B123-B122)*(B123-B124))+C124*(B125-B122)*(B125-B123)/((B124-B122)*(B124-B123))</f>
        <v>0.49060307676113352</v>
      </c>
      <c r="E125" s="171" t="e">
        <f>INDEX(CB!I41:I113,(ROUNDUP(((F125-80)/(20/72))+1,0)),1)</f>
        <v>#VALUE!</v>
      </c>
      <c r="F125" s="49">
        <f>IF(J121&lt;=C112,80+(J121-D112)/((C112-D112)/10),90+(J121-C112)/((B112-C112)/10))</f>
        <v>51.430809126966878</v>
      </c>
      <c r="G125" s="49">
        <f>G115+M116</f>
        <v>1.3639240848085541</v>
      </c>
      <c r="H125" s="54" t="s">
        <v>49</v>
      </c>
      <c r="I125" s="47">
        <v>2.75</v>
      </c>
      <c r="J125" s="47">
        <v>1.0129999999999999</v>
      </c>
      <c r="K125" s="47">
        <v>0.48</v>
      </c>
      <c r="T125" s="1"/>
      <c r="U125" s="1"/>
      <c r="V125" s="1"/>
      <c r="W125" s="1"/>
      <c r="X125" s="1"/>
      <c r="Y125" s="1"/>
      <c r="Z125" s="1"/>
      <c r="AA125" s="1"/>
    </row>
    <row r="126" spans="1:27" ht="12.75" customHeight="1">
      <c r="T126" s="1"/>
      <c r="U126" s="1"/>
      <c r="V126" s="1"/>
      <c r="W126" s="1"/>
      <c r="X126" s="1"/>
      <c r="Y126" s="1"/>
      <c r="Z126" s="1"/>
      <c r="AA126" s="1"/>
    </row>
    <row r="127" spans="1: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T127" s="1"/>
      <c r="U127" s="1"/>
      <c r="V127" s="1"/>
      <c r="W127" s="1"/>
      <c r="X127" s="1"/>
      <c r="Y127" s="1"/>
      <c r="Z127" s="1"/>
      <c r="AA127" s="1"/>
    </row>
    <row r="128" spans="1:27" ht="12.75" customHeight="1" thickBot="1">
      <c r="L128" s="286"/>
      <c r="M128" s="286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2.75" customHeight="1" thickBot="1">
      <c r="A129" s="366" t="s">
        <v>41</v>
      </c>
      <c r="B129" s="466">
        <v>1</v>
      </c>
      <c r="C129" s="466">
        <v>0.9</v>
      </c>
      <c r="D129" s="467">
        <v>0.8</v>
      </c>
      <c r="E129" s="5"/>
      <c r="F129" s="8" t="s">
        <v>18</v>
      </c>
      <c r="G129" s="9"/>
      <c r="H129" s="5"/>
      <c r="I129" s="8" t="s">
        <v>1</v>
      </c>
      <c r="J129" s="10"/>
      <c r="K129" s="5"/>
      <c r="L129" s="52" t="s">
        <v>18</v>
      </c>
      <c r="M129" s="375">
        <f>B131*(Calculadora!$B$1-C130)*(Calculadora!$B$1-D130)/((B130-C130)*(B130-D130))+C131*(Calculadora!$B$1-B130)*(Calculadora!$B$1-D130)/((C130-B130)*(C130-D130))+D131*(Calculadora!$B$1-B130)*(Calculadora!$B$1-C130)/((D130-B130)*(D130-C130))</f>
        <v>9.7544167024040007E-2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2.75" customHeight="1" thickBot="1">
      <c r="A130" s="371" t="s">
        <v>8</v>
      </c>
      <c r="B130" s="313">
        <v>302.5</v>
      </c>
      <c r="C130" s="313">
        <v>277.92</v>
      </c>
      <c r="D130" s="313">
        <v>253.1</v>
      </c>
      <c r="E130" s="5"/>
      <c r="F130" s="347" t="s">
        <v>20</v>
      </c>
      <c r="G130" s="305">
        <f>M129*$AO$2*Calculadora!$B$3</f>
        <v>0.37108006269918431</v>
      </c>
      <c r="H130" s="5"/>
      <c r="I130" s="317"/>
      <c r="J130" s="318"/>
      <c r="K130" s="17"/>
      <c r="L130" s="373" t="s">
        <v>21</v>
      </c>
      <c r="M130" s="374">
        <f>C137</f>
        <v>2.3291745691215788</v>
      </c>
      <c r="N130" s="1"/>
      <c r="O130" s="1"/>
      <c r="V130" s="1"/>
      <c r="W130" s="1"/>
      <c r="X130" s="1"/>
      <c r="Y130" s="1"/>
      <c r="Z130" s="1"/>
      <c r="AA130" s="1"/>
    </row>
    <row r="131" spans="1:27" ht="13.5" customHeight="1" thickBot="1">
      <c r="A131" s="371" t="s">
        <v>18</v>
      </c>
      <c r="B131" s="313">
        <v>1.4550000000000001</v>
      </c>
      <c r="C131" s="313">
        <v>1.39</v>
      </c>
      <c r="D131" s="313">
        <v>1.28</v>
      </c>
      <c r="E131" s="5"/>
      <c r="F131" s="299" t="s">
        <v>22</v>
      </c>
      <c r="G131" s="19">
        <f>IF(G137&gt;0,G130*M132,G130*M133)</f>
        <v>0.36901532155799988</v>
      </c>
      <c r="H131" s="5"/>
      <c r="I131" s="52" t="s">
        <v>23</v>
      </c>
      <c r="J131" s="313">
        <f>(Calculadora!B3*AO1)*M129</f>
        <v>0.12057122125030682</v>
      </c>
      <c r="K131" s="17"/>
      <c r="L131" s="373" t="s">
        <v>24</v>
      </c>
      <c r="M131" s="374">
        <f>C143</f>
        <v>1.5802387286283159</v>
      </c>
      <c r="N131" s="1"/>
      <c r="O131" s="1"/>
      <c r="P131" s="5"/>
      <c r="Q131" s="5"/>
      <c r="V131" s="1"/>
      <c r="W131" s="1"/>
      <c r="X131" s="1"/>
      <c r="Y131" s="1"/>
      <c r="Z131" s="1"/>
      <c r="AA131" s="1"/>
    </row>
    <row r="132" spans="1:27" ht="13.5" customHeight="1" thickBot="1">
      <c r="F132" s="308" t="s">
        <v>25</v>
      </c>
      <c r="G132" s="370">
        <f>G131*J135</f>
        <v>0.36901532155799988</v>
      </c>
      <c r="H132" s="5"/>
      <c r="I132" s="299"/>
      <c r="J132" s="23"/>
      <c r="K132" s="17"/>
      <c r="L132" s="373" t="s">
        <v>26</v>
      </c>
      <c r="M132" s="374">
        <f>IF((Calculadora!B1&gt;0),((100+(G137/-3.6))/100))</f>
        <v>0.99443586075154289</v>
      </c>
      <c r="N132" s="1"/>
      <c r="O132" s="1"/>
      <c r="V132" s="1"/>
      <c r="W132" s="1"/>
      <c r="X132" s="1"/>
      <c r="Y132" s="1"/>
      <c r="Z132" s="1"/>
      <c r="AA132" s="1"/>
    </row>
    <row r="133" spans="1:27" ht="12.75" customHeight="1" thickBot="1">
      <c r="F133" s="301" t="s">
        <v>27</v>
      </c>
      <c r="G133" s="25">
        <f>G131/J136</f>
        <v>0.36901532155799988</v>
      </c>
      <c r="H133" s="5"/>
      <c r="I133" s="308" t="s">
        <v>28</v>
      </c>
      <c r="J133" s="361">
        <f>(J131*1)*1</f>
        <v>0.12057122125030682</v>
      </c>
      <c r="K133" s="17"/>
      <c r="L133" s="50" t="s">
        <v>29</v>
      </c>
      <c r="M133" s="328">
        <f>IF((Calculadora!B1&gt;0),((100+(G137/-2.85))/100))</f>
        <v>0.99297161358089625</v>
      </c>
      <c r="N133" s="1"/>
      <c r="O133" s="1"/>
      <c r="V133" s="1"/>
      <c r="W133" s="1"/>
      <c r="X133" s="1"/>
      <c r="Y133" s="1"/>
      <c r="Z133" s="1"/>
      <c r="AA133" s="1"/>
    </row>
    <row r="134" spans="1:27" ht="12.75" customHeight="1" thickBot="1">
      <c r="A134" s="449" t="s">
        <v>21</v>
      </c>
      <c r="B134" s="450">
        <v>1</v>
      </c>
      <c r="C134" s="451">
        <f>1.84*POWER(1.00138,(B130-Calculadora!B1))</f>
        <v>2.3291745691215793</v>
      </c>
      <c r="F134" s="5"/>
      <c r="G134" s="5"/>
      <c r="H134" s="5"/>
      <c r="I134" s="308" t="s">
        <v>30</v>
      </c>
      <c r="J134" s="361">
        <f>(J131*1)*1</f>
        <v>0.12057122125030682</v>
      </c>
      <c r="L134" s="372" t="s">
        <v>52</v>
      </c>
      <c r="M134" s="391">
        <f>M129/6*Calculadora!B5</f>
        <v>0</v>
      </c>
      <c r="N134" s="1"/>
      <c r="O134" s="1"/>
      <c r="V134" s="1"/>
      <c r="W134" s="1"/>
      <c r="X134" s="1"/>
      <c r="Y134" s="1"/>
      <c r="Z134" s="1"/>
      <c r="AA134" s="1"/>
    </row>
    <row r="135" spans="1:27" ht="12.75" customHeight="1" thickBot="1">
      <c r="A135" s="452" t="s">
        <v>21</v>
      </c>
      <c r="B135" s="453">
        <v>20</v>
      </c>
      <c r="C135" s="454">
        <f>C134</f>
        <v>2.3291745691215793</v>
      </c>
      <c r="F135" s="8" t="s">
        <v>0</v>
      </c>
      <c r="G135" s="5"/>
      <c r="H135" s="5"/>
      <c r="I135" s="329" t="s">
        <v>31</v>
      </c>
      <c r="J135" s="349">
        <v>1</v>
      </c>
      <c r="K135" s="17"/>
      <c r="L135" s="9"/>
      <c r="M135" s="5"/>
      <c r="N135" s="1"/>
      <c r="O135" s="1"/>
      <c r="V135" s="1"/>
      <c r="W135" s="1"/>
      <c r="X135" s="1"/>
      <c r="Y135" s="1"/>
      <c r="Z135" s="1"/>
      <c r="AA135" s="1"/>
    </row>
    <row r="136" spans="1:27" ht="12.75" customHeight="1" thickBot="1">
      <c r="A136" s="449" t="s">
        <v>21</v>
      </c>
      <c r="B136" s="450">
        <v>40</v>
      </c>
      <c r="C136" s="451">
        <f>C134</f>
        <v>2.3291745691215793</v>
      </c>
      <c r="F136" s="317"/>
      <c r="G136" s="322"/>
      <c r="H136" s="5"/>
      <c r="I136" s="310" t="s">
        <v>32</v>
      </c>
      <c r="J136" s="28">
        <v>1</v>
      </c>
      <c r="K136" s="17"/>
      <c r="L136" s="17"/>
      <c r="M136" s="5"/>
      <c r="N136" s="1"/>
      <c r="O136" s="1"/>
      <c r="V136" s="1"/>
      <c r="W136" s="1"/>
      <c r="X136" s="1"/>
      <c r="Y136" s="1"/>
      <c r="Z136" s="1"/>
      <c r="AA136" s="1"/>
    </row>
    <row r="137" spans="1:27" ht="12.75" customHeight="1" thickBot="1">
      <c r="A137" s="449" t="s">
        <v>409</v>
      </c>
      <c r="B137" s="450">
        <f>Calculadora!$B$2</f>
        <v>0.86</v>
      </c>
      <c r="C137" s="455">
        <f>C134*(B137-B135)*(B137-B136)/((B134-B135)*(B134-B136))+C135*(B137-B134)*(B137-B136)/((B135-B134)*(B135-B136))+C136*(B137-B134)*(B137-B135)/((B136-B134)*(B136-B135))</f>
        <v>2.3291745691215788</v>
      </c>
      <c r="F137" s="311" t="s">
        <v>7</v>
      </c>
      <c r="G137" s="312">
        <f>IF(Calculadora!B2&gt;0,Calculadora!B2*M130,Calculadora!B2*M131)</f>
        <v>2.0030901294445576</v>
      </c>
      <c r="H137" s="5"/>
      <c r="I137" s="17"/>
      <c r="J137" s="17"/>
      <c r="K137" s="17"/>
      <c r="L137" s="17"/>
      <c r="M137" s="5"/>
      <c r="N137" s="1"/>
      <c r="O137" s="1"/>
      <c r="V137" s="1"/>
      <c r="W137" s="1"/>
      <c r="X137" s="1"/>
      <c r="Y137" s="1"/>
      <c r="Z137" s="1"/>
      <c r="AA137" s="1"/>
    </row>
    <row r="138" spans="1:27" ht="12.75" customHeight="1" thickBot="1">
      <c r="A138" s="919"/>
      <c r="B138" s="919"/>
      <c r="C138" s="456"/>
      <c r="D138" s="5"/>
      <c r="E138" s="5"/>
      <c r="F138" s="321"/>
      <c r="G138" s="30"/>
      <c r="H138" s="5"/>
      <c r="I138" s="320" t="s">
        <v>33</v>
      </c>
      <c r="J138" s="32">
        <f>Calculadora!$B$1+G137-J133</f>
        <v>133.43251890819425</v>
      </c>
      <c r="K138" s="377">
        <f>100*(J138-C130)*(J138-D130)/((B130-C130)*(B130-D130))+90*(J138-B130)*(J138-D130)/((C130-B130)*(C130-D130))+80*(J138-B130)*(J138-C130)/((D130-B130)*(D130-C130))</f>
        <v>33.16278040202701</v>
      </c>
      <c r="L138" s="42"/>
      <c r="M138" s="5"/>
      <c r="N138" s="1"/>
      <c r="O138" s="1"/>
      <c r="V138" s="1"/>
      <c r="W138" s="1"/>
      <c r="X138" s="1"/>
      <c r="Y138" s="1"/>
      <c r="Z138" s="1"/>
      <c r="AA138" s="1"/>
    </row>
    <row r="139" spans="1:27" ht="12.75" customHeight="1" thickBot="1">
      <c r="A139" s="457"/>
      <c r="B139" s="458"/>
      <c r="C139" s="457"/>
      <c r="D139" s="17"/>
      <c r="E139" s="17"/>
      <c r="F139" s="17"/>
      <c r="G139" s="17"/>
      <c r="H139" s="5"/>
      <c r="I139" s="308" t="s">
        <v>34</v>
      </c>
      <c r="J139" s="319">
        <f>Calculadora!$B$1+G137+J134</f>
        <v>133.67366135069489</v>
      </c>
      <c r="K139" s="376">
        <f>100*(J139-C130)*(J139-D130)/((B130-C130)*(B130-D130))+90*(J139-B130)*(J139-D130)/((C130-B130)*(C130-D130))+80*(J139-B130)*(J139-C130)/((D130-B130)*(D130-C130))</f>
        <v>33.254868907968103</v>
      </c>
      <c r="L139" s="42"/>
      <c r="M139" s="5"/>
      <c r="V139" s="1"/>
      <c r="W139" s="1"/>
      <c r="X139" s="1"/>
      <c r="Y139" s="1"/>
      <c r="Z139" s="1"/>
      <c r="AA139" s="1"/>
    </row>
    <row r="140" spans="1:27" ht="12.75" customHeight="1" thickBot="1">
      <c r="A140" s="453" t="s">
        <v>49</v>
      </c>
      <c r="B140" s="454">
        <v>-1</v>
      </c>
      <c r="C140" s="459">
        <f>1.12*POWER(1.002,(302.5-Calculadora!B1))</f>
        <v>1.575995664517077</v>
      </c>
      <c r="D140" s="17"/>
      <c r="E140" s="17"/>
      <c r="F140" s="17"/>
      <c r="G140" s="17"/>
      <c r="H140" s="5"/>
      <c r="I140" s="5"/>
      <c r="J140" s="5"/>
      <c r="K140" s="34"/>
      <c r="L140" s="17"/>
      <c r="M140" s="5"/>
      <c r="N140" s="1"/>
      <c r="O140" s="1"/>
      <c r="V140" s="1"/>
      <c r="W140" s="1"/>
      <c r="X140" s="1"/>
      <c r="Y140" s="1"/>
      <c r="Z140" s="1"/>
      <c r="AA140" s="1"/>
    </row>
    <row r="141" spans="1:27" ht="12.75" customHeight="1" thickBot="1">
      <c r="A141" s="453" t="s">
        <v>49</v>
      </c>
      <c r="B141" s="454">
        <v>-20</v>
      </c>
      <c r="C141" s="460">
        <f>MEDIAN(C140,C142)</f>
        <v>1.5337814949317981</v>
      </c>
      <c r="E141" s="46" t="s">
        <v>46</v>
      </c>
      <c r="F141" s="46" t="s">
        <v>3</v>
      </c>
      <c r="G141" s="46" t="s">
        <v>13</v>
      </c>
      <c r="Q141" s="5"/>
      <c r="R141" s="5"/>
      <c r="S141" s="5"/>
      <c r="V141" s="1"/>
      <c r="W141" s="1"/>
      <c r="X141" s="1"/>
      <c r="Y141" s="1"/>
      <c r="Z141" s="1"/>
      <c r="AA141" s="1"/>
    </row>
    <row r="142" spans="1:27" ht="13.5" customHeight="1" thickBot="1">
      <c r="A142" s="450" t="s">
        <v>49</v>
      </c>
      <c r="B142" s="451">
        <v>-40</v>
      </c>
      <c r="C142" s="461">
        <f>1.06*POWER(1.002,(302.5-Calculadora!B1))</f>
        <v>1.4915673253465191</v>
      </c>
      <c r="E142" s="45" t="e">
        <f>INDEX(CB!C41:C113,(ROUNDUP(((F142-80)/(20/72))+1,0)),1)</f>
        <v>#VALUE!</v>
      </c>
      <c r="F142" s="48">
        <f>IF(J138&lt;=C130,80+(J138-D130)/((C130-D130)/10),90+(J138-C130)/((B130-C130)/10))</f>
        <v>31.785865797016257</v>
      </c>
      <c r="G142" s="48">
        <f>G132+M134</f>
        <v>0.36901532155799988</v>
      </c>
      <c r="Q142" s="5"/>
      <c r="V142" s="1"/>
      <c r="W142" s="1"/>
      <c r="X142" s="1"/>
      <c r="Y142" s="1"/>
      <c r="Z142" s="1"/>
      <c r="AA142" s="1"/>
    </row>
    <row r="143" spans="1:27" ht="13.5" customHeight="1" thickBot="1">
      <c r="A143" s="450" t="s">
        <v>410</v>
      </c>
      <c r="B143" s="451">
        <f>Calculadora!$B$2</f>
        <v>0.86</v>
      </c>
      <c r="C143" s="455">
        <f>C140*(B143-B141)*(B143-B142)/((B140-B141)*(B140-B142))+C141*(B143-B140)*(B143-B142)/((B141-B140)*(B141-B142))+C142*(B143-B140)*(B143-B141)/((B142-B140)*(B142-B141))</f>
        <v>1.5802387286283159</v>
      </c>
      <c r="E143" s="171" t="e">
        <f>INDEX(CB!C41:C113,(ROUNDUP(((F143-80)/(20/72))+1,0)),1)</f>
        <v>#VALUE!</v>
      </c>
      <c r="F143" s="49">
        <f>IF(J139&lt;=C130,80+(J139-D130)/((C130-D130)/10),90+(J139-C130)/((B130-C130)/10))</f>
        <v>31.883022300844075</v>
      </c>
      <c r="G143" s="49">
        <f>G133+M134</f>
        <v>0.36901532155799988</v>
      </c>
      <c r="Q143" s="5"/>
      <c r="V143" s="1"/>
      <c r="W143" s="1"/>
      <c r="X143" s="1"/>
      <c r="Y143" s="1"/>
      <c r="Z143" s="1"/>
      <c r="AA143" s="1"/>
    </row>
    <row r="144" spans="1:27" ht="13.5" customHeight="1">
      <c r="V144" s="1"/>
      <c r="W144" s="1"/>
      <c r="X144" s="1"/>
      <c r="Y144" s="1"/>
      <c r="Z144" s="1"/>
      <c r="AA144" s="1"/>
    </row>
    <row r="145" spans="1:27" ht="12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V145" s="1"/>
      <c r="W145" s="1"/>
      <c r="X145" s="1"/>
      <c r="Y145" s="1"/>
      <c r="Z145" s="1"/>
      <c r="AA145" s="1"/>
    </row>
    <row r="146" spans="1:27" ht="12.75" customHeight="1" thickBot="1">
      <c r="L146" s="286"/>
      <c r="M146" s="286"/>
      <c r="V146" s="1"/>
      <c r="W146" s="1"/>
      <c r="X146" s="1"/>
      <c r="Y146" s="1"/>
      <c r="Z146" s="1"/>
      <c r="AA146" s="1"/>
    </row>
    <row r="147" spans="1:27" ht="12.75" customHeight="1" thickBot="1">
      <c r="A147" s="462" t="s">
        <v>413</v>
      </c>
      <c r="B147" s="466">
        <v>1</v>
      </c>
      <c r="C147" s="466">
        <v>0.9</v>
      </c>
      <c r="D147" s="467">
        <v>0.8</v>
      </c>
      <c r="E147" s="5"/>
      <c r="F147" s="8" t="s">
        <v>18</v>
      </c>
      <c r="G147" s="9"/>
      <c r="H147" s="5"/>
      <c r="I147" s="8" t="s">
        <v>1</v>
      </c>
      <c r="J147" s="10"/>
      <c r="K147" s="5"/>
      <c r="L147" s="52" t="s">
        <v>18</v>
      </c>
      <c r="M147" s="375">
        <f>B149*(Calculadora!$B$1-C148)*(Calculadora!$B$1-D148)/((B148-C148)*(B148-D148))+C149*(Calculadora!$B$1-B148)*(Calculadora!$B$1-D148)/((C148-B148)*(C148-D148))+D149*(Calculadora!$B$1-B148)*(Calculadora!$B$1-C148)/((D148-B148)*(D148-C148))</f>
        <v>0.23171457657367611</v>
      </c>
      <c r="O147" s="1"/>
      <c r="V147" s="1"/>
      <c r="W147" s="1"/>
      <c r="X147" s="1"/>
      <c r="Y147" s="1"/>
      <c r="Z147" s="1"/>
      <c r="AA147" s="1"/>
    </row>
    <row r="148" spans="1:27" ht="12.75" customHeight="1" thickBot="1">
      <c r="A148" s="371" t="s">
        <v>8</v>
      </c>
      <c r="B148" s="313">
        <v>307</v>
      </c>
      <c r="C148" s="313">
        <v>288.10000000000002</v>
      </c>
      <c r="D148" s="313">
        <v>262.3</v>
      </c>
      <c r="E148" s="5"/>
      <c r="F148" s="347" t="s">
        <v>20</v>
      </c>
      <c r="G148" s="305">
        <f>M147*$AO$2*Calculadora!$B$3</f>
        <v>0.88149463188386801</v>
      </c>
      <c r="H148" s="5"/>
      <c r="I148" s="317"/>
      <c r="J148" s="318"/>
      <c r="K148" s="17"/>
      <c r="L148" s="373" t="s">
        <v>21</v>
      </c>
      <c r="M148" s="374">
        <f>C155</f>
        <v>2.3436737143676316</v>
      </c>
      <c r="N148" s="1"/>
      <c r="O148" s="1"/>
      <c r="V148" s="1"/>
      <c r="W148" s="1"/>
      <c r="X148" s="1"/>
      <c r="Y148" s="1"/>
      <c r="Z148" s="1"/>
      <c r="AA148" s="1"/>
    </row>
    <row r="149" spans="1:27" ht="12.75" customHeight="1" thickBot="1">
      <c r="A149" s="371" t="s">
        <v>18</v>
      </c>
      <c r="B149" s="313">
        <v>1.484</v>
      </c>
      <c r="C149" s="313">
        <v>1.42</v>
      </c>
      <c r="D149" s="313">
        <v>1.3049999999999999</v>
      </c>
      <c r="E149" s="5"/>
      <c r="F149" s="299" t="s">
        <v>22</v>
      </c>
      <c r="G149" s="19">
        <f>IF(G155&gt;0,G148*M150,G148*M151)</f>
        <v>0.87655934081062337</v>
      </c>
      <c r="H149" s="5"/>
      <c r="I149" s="52" t="s">
        <v>23</v>
      </c>
      <c r="J149" s="313">
        <f>(Calculadora!B3*AO1)*M147</f>
        <v>0.28641496802264399</v>
      </c>
      <c r="K149" s="17"/>
      <c r="L149" s="373" t="s">
        <v>24</v>
      </c>
      <c r="M149" s="374">
        <f>C161</f>
        <v>1.8497888252330716</v>
      </c>
      <c r="N149" s="1"/>
      <c r="O149" s="1"/>
      <c r="V149" s="1"/>
      <c r="W149" s="1"/>
      <c r="X149" s="1"/>
      <c r="Y149" s="1"/>
      <c r="Z149" s="1"/>
      <c r="AA149" s="1"/>
    </row>
    <row r="150" spans="1:27" ht="12.75" customHeight="1" thickBot="1">
      <c r="F150" s="308" t="s">
        <v>25</v>
      </c>
      <c r="G150" s="370">
        <f>G149*J153</f>
        <v>0.87655934081062337</v>
      </c>
      <c r="H150" s="5"/>
      <c r="I150" s="299"/>
      <c r="J150" s="23"/>
      <c r="K150" s="17"/>
      <c r="L150" s="373" t="s">
        <v>26</v>
      </c>
      <c r="M150" s="374">
        <f>IF((Calculadora!B1&gt;0),((100+(G155/-3.6))/100))</f>
        <v>0.9944012239045662</v>
      </c>
      <c r="N150" s="1"/>
      <c r="O150" s="1"/>
      <c r="V150" s="1"/>
      <c r="W150" s="1"/>
      <c r="X150" s="1"/>
      <c r="Y150" s="1"/>
      <c r="Z150" s="1"/>
      <c r="AA150" s="1"/>
    </row>
    <row r="151" spans="1:27" ht="12.75" customHeight="1" thickBot="1">
      <c r="F151" s="301" t="s">
        <v>27</v>
      </c>
      <c r="G151" s="25">
        <f>G149/J154</f>
        <v>0.87655934081062337</v>
      </c>
      <c r="H151" s="5"/>
      <c r="I151" s="308" t="s">
        <v>28</v>
      </c>
      <c r="J151" s="361">
        <f>(J149*1)*1</f>
        <v>0.28641496802264399</v>
      </c>
      <c r="K151" s="17"/>
      <c r="L151" s="50" t="s">
        <v>29</v>
      </c>
      <c r="M151" s="328">
        <f>IF((Calculadora!B1&gt;0),((100+(G155/-2.85))/100))</f>
        <v>0.9929278617741889</v>
      </c>
      <c r="N151" s="1"/>
      <c r="O151" s="1"/>
      <c r="V151" s="1"/>
      <c r="W151" s="1"/>
      <c r="X151" s="1"/>
      <c r="Y151" s="1"/>
      <c r="Z151" s="1"/>
      <c r="AA151" s="1"/>
    </row>
    <row r="152" spans="1:27" ht="12.75" customHeight="1" thickBot="1">
      <c r="A152" s="449" t="s">
        <v>21</v>
      </c>
      <c r="B152" s="450">
        <v>1</v>
      </c>
      <c r="C152" s="451">
        <f>1.84*POWER(1.00138,(B148-Calculadora!B1))</f>
        <v>2.3436737143676316</v>
      </c>
      <c r="F152" s="5"/>
      <c r="G152" s="5"/>
      <c r="H152" s="5"/>
      <c r="I152" s="308" t="s">
        <v>30</v>
      </c>
      <c r="J152" s="361">
        <f>(J149*1)*1</f>
        <v>0.28641496802264399</v>
      </c>
      <c r="L152" s="372" t="s">
        <v>52</v>
      </c>
      <c r="M152" s="391">
        <f>M147/6*Calculadora!B5</f>
        <v>0</v>
      </c>
      <c r="N152" s="1"/>
      <c r="O152" s="1"/>
      <c r="V152" s="1"/>
      <c r="W152" s="1"/>
      <c r="X152" s="1"/>
      <c r="Y152" s="1"/>
      <c r="Z152" s="1"/>
      <c r="AA152" s="1"/>
    </row>
    <row r="153" spans="1:27" ht="13.5" customHeight="1" thickBot="1">
      <c r="A153" s="452" t="s">
        <v>21</v>
      </c>
      <c r="B153" s="453">
        <v>20</v>
      </c>
      <c r="C153" s="454">
        <f>C152</f>
        <v>2.3436737143676316</v>
      </c>
      <c r="F153" s="8" t="s">
        <v>0</v>
      </c>
      <c r="G153" s="5"/>
      <c r="H153" s="5"/>
      <c r="I153" s="329" t="s">
        <v>31</v>
      </c>
      <c r="J153" s="349">
        <v>1</v>
      </c>
      <c r="K153" s="17"/>
      <c r="L153" s="9"/>
      <c r="M153" s="5"/>
      <c r="N153" s="1"/>
      <c r="O153" s="1"/>
      <c r="V153" s="1"/>
      <c r="W153" s="1"/>
      <c r="X153" s="1"/>
      <c r="Y153" s="1"/>
      <c r="Z153" s="1"/>
      <c r="AA153" s="1"/>
    </row>
    <row r="154" spans="1:27" ht="12.75" customHeight="1" thickBot="1">
      <c r="A154" s="449" t="s">
        <v>21</v>
      </c>
      <c r="B154" s="450">
        <v>40</v>
      </c>
      <c r="C154" s="451">
        <f>C152</f>
        <v>2.3436737143676316</v>
      </c>
      <c r="F154" s="317"/>
      <c r="G154" s="322"/>
      <c r="H154" s="5"/>
      <c r="I154" s="310" t="s">
        <v>32</v>
      </c>
      <c r="J154" s="28">
        <v>1</v>
      </c>
      <c r="K154" s="17"/>
      <c r="L154" s="17"/>
      <c r="M154" s="5"/>
      <c r="N154" s="1"/>
      <c r="O154" s="1"/>
      <c r="V154" s="1"/>
      <c r="W154" s="1"/>
      <c r="X154" s="1"/>
      <c r="Y154" s="1"/>
      <c r="Z154" s="1"/>
      <c r="AA154" s="1"/>
    </row>
    <row r="155" spans="1:27" ht="12.75" customHeight="1" thickBot="1">
      <c r="A155" s="449" t="s">
        <v>409</v>
      </c>
      <c r="B155" s="450">
        <f>Calculadora!$B$2</f>
        <v>0.86</v>
      </c>
      <c r="C155" s="455">
        <f>C152*(B155-B153)*(B155-B154)/((B152-B153)*(B152-B154))+C153*(B155-B152)*(B155-B154)/((B153-B152)*(B153-B154))+C154*(B155-B152)*(B155-B153)/((B154-B152)*(B154-B153))</f>
        <v>2.3436737143676316</v>
      </c>
      <c r="F155" s="311" t="s">
        <v>7</v>
      </c>
      <c r="G155" s="312">
        <f>IF(Calculadora!B2&gt;0,Calculadora!B2*M148,Calculadora!B2*M149)</f>
        <v>2.0155593943561629</v>
      </c>
      <c r="H155" s="5"/>
      <c r="I155" s="17"/>
      <c r="J155" s="17"/>
      <c r="K155" s="17"/>
      <c r="L155" s="17"/>
      <c r="M155" s="5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2.75" customHeight="1" thickBot="1">
      <c r="A156" s="919"/>
      <c r="B156" s="919"/>
      <c r="C156" s="456"/>
      <c r="D156" s="5"/>
      <c r="E156" s="5"/>
      <c r="F156" s="321"/>
      <c r="G156" s="30"/>
      <c r="H156" s="5"/>
      <c r="I156" s="320" t="s">
        <v>33</v>
      </c>
      <c r="J156" s="32">
        <f>Calculadora!$B$1+G155-J151</f>
        <v>133.27914442633352</v>
      </c>
      <c r="K156" s="377">
        <f>100*(J156-C148)*(J156-D148)/((B148-C148)*(B148-D148))+90*(J156-B148)*(J156-D148)/((C148-B148)*(C148-D148))+80*(J156-B148)*(J156-C148)/((D148-B148)*(D148-C148))</f>
        <v>93.225739276914055</v>
      </c>
      <c r="L156" s="42"/>
      <c r="M156" s="5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3.5" customHeight="1" thickBot="1">
      <c r="A157" s="465"/>
      <c r="B157" s="458"/>
      <c r="C157" s="465"/>
      <c r="D157" s="17"/>
      <c r="E157" s="17"/>
      <c r="F157" s="17"/>
      <c r="G157" s="17"/>
      <c r="H157" s="5"/>
      <c r="I157" s="308" t="s">
        <v>34</v>
      </c>
      <c r="J157" s="319">
        <f>Calculadora!$B$1+G155+J152</f>
        <v>133.85197436237883</v>
      </c>
      <c r="K157" s="376">
        <f>100*(J157-C148)*(J157-D148)/((B148-C148)*(B148-D148))+90*(J157-B148)*(J157-D148)/((C148-B148)*(C148-D148))+80*(J157-B148)*(J157-C148)/((D148-B148)*(D148-C148))</f>
        <v>92.934095876991933</v>
      </c>
      <c r="L157" s="42"/>
      <c r="M157" s="5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3.5" customHeight="1" thickBot="1">
      <c r="A158" s="453" t="s">
        <v>49</v>
      </c>
      <c r="B158" s="454">
        <v>-1</v>
      </c>
      <c r="C158" s="459">
        <f>1.3*POWER(1.002,(302.5-Calculadora!B1))</f>
        <v>1.8292806820287497</v>
      </c>
      <c r="D158" s="17"/>
      <c r="E158" s="17"/>
      <c r="F158" s="17"/>
      <c r="G158" s="17"/>
      <c r="H158" s="5"/>
      <c r="I158" s="5"/>
      <c r="J158" s="5"/>
      <c r="K158" s="34"/>
      <c r="L158" s="17"/>
      <c r="M158" s="5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2.75" customHeight="1" thickBot="1">
      <c r="A159" s="453" t="s">
        <v>49</v>
      </c>
      <c r="B159" s="454">
        <v>-20</v>
      </c>
      <c r="C159" s="460">
        <f>MEDIAN(C158,C160)</f>
        <v>1.6252455290332355</v>
      </c>
      <c r="E159" s="46" t="s">
        <v>46</v>
      </c>
      <c r="F159" s="46" t="s">
        <v>3</v>
      </c>
      <c r="G159" s="46" t="s">
        <v>13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2.75" customHeight="1" thickBot="1">
      <c r="A160" s="450" t="s">
        <v>49</v>
      </c>
      <c r="B160" s="451">
        <v>-40</v>
      </c>
      <c r="C160" s="461">
        <f>1.01*POWER(1.002,(302.5-Calculadora!B1))</f>
        <v>1.421210376037721</v>
      </c>
      <c r="E160" s="45" t="e">
        <f>INDEX(CB!D41:D113,(ROUNDUP(((F160-80)/(20/72))+1,0)),1)</f>
        <v>#VALUE!</v>
      </c>
      <c r="F160" s="48">
        <f>IF(J156&lt;=C148,80+(J156-D148)/((C148-D148)/10),90+(J156-C148)/((B148-C148)/10))</f>
        <v>29.991916444315329</v>
      </c>
      <c r="G160" s="48">
        <f>G150+M152</f>
        <v>0.87655934081062337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2.75" customHeight="1" thickBot="1">
      <c r="A161" s="450" t="s">
        <v>410</v>
      </c>
      <c r="B161" s="451">
        <f>Calculadora!$B$2</f>
        <v>0.86</v>
      </c>
      <c r="C161" s="455">
        <f>C158*(B161-B159)*(B161-B160)/((B158-B159)*(B158-B160))+C159*(B161-B158)*(B161-B160)/((B159-B158)*(B159-B160))+C160*(B161-B158)*(B161-B159)/((B160-B158)*(B160-B159))</f>
        <v>1.8497888252330716</v>
      </c>
      <c r="E161" s="171" t="e">
        <f>INDEX(CB!D41:D113,(ROUNDUP(((F161-80)/(20/72))+1,0)),1)</f>
        <v>#VALUE!</v>
      </c>
      <c r="F161" s="49">
        <f>IF(J157&lt;=C148,80+(J157-D148)/((C148-D148)/10),90+(J157-C148)/((B148-C148)/10))</f>
        <v>30.213943551309633</v>
      </c>
      <c r="G161" s="49">
        <f>G151+M152</f>
        <v>0.87655934081062337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2.75" customHeight="1">
      <c r="A162" s="465"/>
      <c r="B162" s="465"/>
      <c r="C162" s="468"/>
      <c r="E162" s="469"/>
      <c r="F162" s="194"/>
      <c r="G162" s="194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2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2.75" customHeight="1" thickBot="1"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2.75" customHeight="1" thickBot="1">
      <c r="A165" s="366" t="s">
        <v>54</v>
      </c>
      <c r="B165" s="346">
        <v>1</v>
      </c>
      <c r="C165" s="291">
        <v>0.9</v>
      </c>
      <c r="D165" s="35">
        <v>0.8</v>
      </c>
      <c r="E165" s="5"/>
      <c r="F165" s="8" t="s">
        <v>18</v>
      </c>
      <c r="G165" s="9"/>
      <c r="H165" s="5"/>
      <c r="I165" s="8" t="s">
        <v>1</v>
      </c>
      <c r="J165" s="10"/>
      <c r="K165" s="5"/>
      <c r="L165" s="52" t="s">
        <v>18</v>
      </c>
      <c r="M165" s="50">
        <f>B167*(M171-C166)*(M171-D166)/((B166-C166)*(B166-D166))+C167*(M171-B166)*(M171-D166)/((C166-B166)*(C166-D166))+D167*(M171-B166)*(M171-C166)/((D166-B166)*(D166-C166))</f>
        <v>0.23348682509792518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2.75" customHeight="1" thickBot="1">
      <c r="A166" s="289" t="s">
        <v>8</v>
      </c>
      <c r="B166" s="378">
        <v>262</v>
      </c>
      <c r="C166" s="292">
        <v>227</v>
      </c>
      <c r="D166" s="290">
        <v>196.4</v>
      </c>
      <c r="E166" s="5"/>
      <c r="F166" s="347" t="s">
        <v>20</v>
      </c>
      <c r="G166" s="305">
        <f>M165*$AO$2*Calculadora!$B$3</f>
        <v>0.88823666591379413</v>
      </c>
      <c r="H166" s="5"/>
      <c r="I166" s="317"/>
      <c r="J166" s="318"/>
      <c r="K166" s="17"/>
      <c r="L166" s="50" t="s">
        <v>21</v>
      </c>
      <c r="M166" s="51">
        <f>L178*POWER(K178,(B166-M171))</f>
        <v>3.5047523111319245</v>
      </c>
      <c r="N166" s="5"/>
      <c r="O166" s="5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2.75" customHeight="1" thickBot="1">
      <c r="A167" s="324" t="s">
        <v>18</v>
      </c>
      <c r="B167" s="295">
        <v>1.097</v>
      </c>
      <c r="C167" s="297">
        <v>0.74299999999999999</v>
      </c>
      <c r="D167" s="326">
        <v>0.50700000000000001</v>
      </c>
      <c r="E167" s="5"/>
      <c r="F167" s="329" t="s">
        <v>22</v>
      </c>
      <c r="G167" s="343">
        <f>IF(G173&gt;0,G166*M168,G166*M169)</f>
        <v>0.87987034536186792</v>
      </c>
      <c r="H167" s="5"/>
      <c r="I167" s="329" t="s">
        <v>23</v>
      </c>
      <c r="J167" s="349">
        <f>M165*Calculadora!$B$3*$AO$1</f>
        <v>0.28860558767163952</v>
      </c>
      <c r="K167" s="17"/>
      <c r="L167" s="50" t="s">
        <v>24</v>
      </c>
      <c r="M167" s="51">
        <f>L179*POWER(K179,(B166-M171))</f>
        <v>2.6951638148520853</v>
      </c>
      <c r="N167" s="5"/>
      <c r="O167" s="5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3.5" customHeight="1" thickBot="1">
      <c r="B168" s="43">
        <v>1.097</v>
      </c>
      <c r="E168" s="5"/>
      <c r="F168" s="311" t="s">
        <v>25</v>
      </c>
      <c r="G168" s="348">
        <f>G167*J171</f>
        <v>0.8776548595691096</v>
      </c>
      <c r="H168" s="5"/>
      <c r="I168" s="329"/>
      <c r="J168" s="330"/>
      <c r="K168" s="17"/>
      <c r="L168" s="50" t="s">
        <v>26</v>
      </c>
      <c r="M168" s="51">
        <f>IF((M171&gt;0),((100+(G173/-J178))/100))</f>
        <v>0.99058097816383295</v>
      </c>
      <c r="N168" s="5"/>
      <c r="O168" s="5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3.5" customHeight="1" thickBot="1">
      <c r="E169" s="5"/>
      <c r="F169" s="301" t="s">
        <v>27</v>
      </c>
      <c r="G169" s="25">
        <f>G167/J172</f>
        <v>0.88239516719657951</v>
      </c>
      <c r="H169" s="5"/>
      <c r="I169" s="311" t="s">
        <v>28</v>
      </c>
      <c r="J169" s="312">
        <f>$AT$1*Calculadora!$B$3*M165*1*(1-(G173*0.016))</f>
        <v>0.27468747013016626</v>
      </c>
      <c r="K169" s="17"/>
      <c r="L169" s="50" t="s">
        <v>29</v>
      </c>
      <c r="M169" s="51">
        <f>IF((M171&gt;0),((100+(G173/-J179))/100))</f>
        <v>0.96674977690396191</v>
      </c>
      <c r="N169" s="5"/>
      <c r="O169" s="5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3.5" customHeight="1" thickBot="1">
      <c r="A170" s="449" t="s">
        <v>21</v>
      </c>
      <c r="B170" s="450">
        <v>1</v>
      </c>
      <c r="C170" s="451">
        <v>0.71499999999999997</v>
      </c>
      <c r="D170" s="72"/>
      <c r="E170" s="5"/>
      <c r="F170" s="5"/>
      <c r="G170" s="5"/>
      <c r="H170" s="5"/>
      <c r="I170" s="311" t="s">
        <v>30</v>
      </c>
      <c r="J170" s="312">
        <f>AT1*Calculadora!B3*M165*1.25*(1-(G173*0.016))</f>
        <v>0.34335933766270788</v>
      </c>
      <c r="K170" s="17"/>
      <c r="L170" s="52" t="s">
        <v>52</v>
      </c>
      <c r="M170" s="52">
        <f>M165/4*Calculadora!$B$5</f>
        <v>0</v>
      </c>
      <c r="N170" s="5"/>
      <c r="O170" s="5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2.75" customHeight="1" thickBot="1">
      <c r="A171" s="452" t="s">
        <v>21</v>
      </c>
      <c r="B171" s="453">
        <v>20</v>
      </c>
      <c r="C171" s="454">
        <f>C170</f>
        <v>0.71499999999999997</v>
      </c>
      <c r="E171" s="5"/>
      <c r="F171" s="8" t="s">
        <v>0</v>
      </c>
      <c r="G171" s="5"/>
      <c r="H171" s="5"/>
      <c r="I171" s="329" t="s">
        <v>31</v>
      </c>
      <c r="J171" s="349">
        <f>(100+(J169*2.75/-3))/100</f>
        <v>0.99748203152380688</v>
      </c>
      <c r="K171" s="17"/>
      <c r="L171" s="52" t="s">
        <v>53</v>
      </c>
      <c r="M171" s="52">
        <f>CC!$Q$12</f>
        <v>131.55000000000001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2.75" customHeight="1" thickBot="1">
      <c r="A172" s="449" t="s">
        <v>21</v>
      </c>
      <c r="B172" s="450">
        <v>40</v>
      </c>
      <c r="C172" s="451">
        <f>C170</f>
        <v>0.71499999999999997</v>
      </c>
      <c r="D172" s="5"/>
      <c r="E172" s="5"/>
      <c r="F172" s="317"/>
      <c r="G172" s="322"/>
      <c r="H172" s="5"/>
      <c r="I172" s="310" t="s">
        <v>32</v>
      </c>
      <c r="J172" s="28">
        <f>(100+(J170*5/-6))/100</f>
        <v>0.99713867218614416</v>
      </c>
      <c r="K172" s="17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2.75" customHeight="1" thickBot="1">
      <c r="A173" s="449" t="s">
        <v>409</v>
      </c>
      <c r="B173" s="450">
        <f>Calculadora!$B$2</f>
        <v>0.86</v>
      </c>
      <c r="C173" s="455">
        <f>C170*(B173-B171)*(B173-B172)/((B170-B171)*(B170-B172))+C171*(B173-B170)*(B173-B172)/((B171-B170)*(B171-B172))+C172*(B173-B170)*(B173-B171)/((B172-B170)*(B172-B171))</f>
        <v>0.71499999999999997</v>
      </c>
      <c r="D173" s="5"/>
      <c r="E173" s="5"/>
      <c r="F173" s="311" t="s">
        <v>7</v>
      </c>
      <c r="G173" s="312">
        <f>IF(Calculadora!$B$2&gt;0,Calculadora!$B$2*M166,Calculadora!$B$2*M167)</f>
        <v>3.0140869875734548</v>
      </c>
      <c r="H173" s="5"/>
      <c r="I173" s="17"/>
      <c r="J173" s="17"/>
      <c r="M173" s="83" t="s">
        <v>9</v>
      </c>
      <c r="N173" s="335"/>
      <c r="O173" s="40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2.75" customHeight="1" thickBot="1">
      <c r="A174" s="919"/>
      <c r="B174" s="919"/>
      <c r="C174" s="456"/>
      <c r="D174" s="5"/>
      <c r="E174" s="5"/>
      <c r="F174" s="321"/>
      <c r="G174" s="30"/>
      <c r="H174" s="5"/>
      <c r="I174" s="320" t="s">
        <v>33</v>
      </c>
      <c r="J174" s="32">
        <f>M171+G173-J169</f>
        <v>134.28939951744329</v>
      </c>
      <c r="M174" s="84">
        <f>MOD(F178,20/72)</f>
        <v>0.2579736985108696</v>
      </c>
      <c r="N174" s="84">
        <f>MOD(F179,20/72)</f>
        <v>0.18217200171116243</v>
      </c>
      <c r="O174" s="4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2.75" customHeight="1" thickBot="1">
      <c r="A175" s="457"/>
      <c r="B175" s="458"/>
      <c r="C175" s="457"/>
      <c r="D175" s="5"/>
      <c r="E175" s="17"/>
      <c r="F175" s="17"/>
      <c r="G175" s="17"/>
      <c r="H175" s="5"/>
      <c r="I175" s="308" t="s">
        <v>34</v>
      </c>
      <c r="J175" s="319">
        <f>M171+G173+J170</f>
        <v>134.90744632523618</v>
      </c>
      <c r="M175" s="84">
        <f>M174/(20/72)</f>
        <v>0.92870531463913053</v>
      </c>
      <c r="N175" s="84">
        <f>N174/(20/72)</f>
        <v>0.65581920616018474</v>
      </c>
      <c r="O175" s="4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2.75" customHeight="1" thickBot="1">
      <c r="A176" s="453" t="s">
        <v>49</v>
      </c>
      <c r="B176" s="454">
        <v>-1</v>
      </c>
      <c r="C176" s="459">
        <v>0.625</v>
      </c>
      <c r="M176" s="84">
        <f>IF(M175&lt;0.288,ROUNDDOWN(M175,0),ROUNDUP(M175,0))</f>
        <v>1</v>
      </c>
      <c r="N176" s="84">
        <f>IF(N175&lt;0.288,ROUNDDOWN(N175,0),ROUNDUP(N175,0))</f>
        <v>1</v>
      </c>
      <c r="O176" s="4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2.75" customHeight="1" thickBot="1">
      <c r="A177" s="453" t="s">
        <v>49</v>
      </c>
      <c r="B177" s="454">
        <v>-20</v>
      </c>
      <c r="C177" s="460">
        <f>MEDIAN(C176,C178)</f>
        <v>0.62</v>
      </c>
      <c r="E177" s="46" t="s">
        <v>46</v>
      </c>
      <c r="F177" s="46" t="s">
        <v>3</v>
      </c>
      <c r="G177" s="46" t="s">
        <v>13</v>
      </c>
      <c r="H177" s="55" t="s">
        <v>47</v>
      </c>
      <c r="J177" s="44" t="s">
        <v>48</v>
      </c>
      <c r="K177" s="44" t="s">
        <v>50</v>
      </c>
      <c r="L177" s="44" t="s">
        <v>51</v>
      </c>
      <c r="M177" s="333"/>
      <c r="N177" s="333"/>
      <c r="O177" s="333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2.75" customHeight="1" thickBot="1">
      <c r="A178" s="450" t="s">
        <v>49</v>
      </c>
      <c r="B178" s="451">
        <v>-40</v>
      </c>
      <c r="C178" s="461">
        <v>0.61499999999999999</v>
      </c>
      <c r="D178" s="45" t="s">
        <v>43</v>
      </c>
      <c r="E178" s="171" t="e">
        <f>IF(M176=0,INDEX(CB!C5:C113,(ROUNDDOWN(((F178-70)/(20/72)+1),0)),1),INDEX(CB!C5:C113,(ROUNDUP(((F178-70)/(20/72))+1,0)),1))</f>
        <v>#VALUE!</v>
      </c>
      <c r="F178" s="48">
        <f>IF(J174&lt;=C166,80+(J174-D166)/((C166-D166)/10),90+(J174-C166)/((B166-C166)/10))</f>
        <v>59.702418142955317</v>
      </c>
      <c r="G178" s="48">
        <f>G168+M170</f>
        <v>0.8776548595691096</v>
      </c>
      <c r="H178" s="45">
        <f>N178</f>
        <v>9</v>
      </c>
      <c r="I178" s="53" t="s">
        <v>21</v>
      </c>
      <c r="J178" s="45">
        <v>3.2</v>
      </c>
      <c r="K178" s="45">
        <v>1.0122599999999999</v>
      </c>
      <c r="L178" s="463">
        <f>C173</f>
        <v>0.71499999999999997</v>
      </c>
      <c r="M178" s="86" t="s">
        <v>4</v>
      </c>
      <c r="N178" s="86">
        <f>IF(M174&lt;0.08,9,N179)</f>
        <v>9</v>
      </c>
      <c r="O178" s="56">
        <f>IF(N174&lt;0.08,9,O179)</f>
        <v>8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3.5" customHeight="1" thickBot="1">
      <c r="A179" s="450" t="s">
        <v>410</v>
      </c>
      <c r="B179" s="451">
        <f>Calculadora!$B$2</f>
        <v>0.86</v>
      </c>
      <c r="C179" s="455">
        <f>C176*(B179-B177)*(B179-B178)/((B176-B177)*(B176-B178))+C177*(B179-B176)*(B179-B178)/((B177-B176)*(B177-B178))+C178*(B179-B176)*(B179-B177)/((B178-B176)*(B178-B177))</f>
        <v>0.62550256396761128</v>
      </c>
      <c r="D179" s="47" t="s">
        <v>44</v>
      </c>
      <c r="E179" s="172" t="e">
        <f>IF(N176=0,INDEX(CB!C5:C113,(ROUNDDOWN(((F179-70)/(20/72)+1),0)),1),INDEX(CB!C5:C113,(ROUNDUP(((F179-70)/(20/72))+1,0)),1))</f>
        <v>#VALUE!</v>
      </c>
      <c r="F179" s="49">
        <f>IF(J175&lt;=C166,80+(J175-D166)/((C166-D166)/10),90+(J175-C166)/((B166-C166)/10))</f>
        <v>59.904394223933387</v>
      </c>
      <c r="G179" s="49">
        <f>G169+M170</f>
        <v>0.88239516719657951</v>
      </c>
      <c r="H179" s="47">
        <f>O178</f>
        <v>8</v>
      </c>
      <c r="I179" s="70" t="s">
        <v>49</v>
      </c>
      <c r="J179" s="49">
        <f>Calculadora!B1/J180</f>
        <v>0.90648624487954155</v>
      </c>
      <c r="K179" s="47">
        <v>1.01126</v>
      </c>
      <c r="L179" s="464">
        <f>C179</f>
        <v>0.62550256396761128</v>
      </c>
      <c r="M179" s="333"/>
      <c r="N179" s="86">
        <f>IF(M174&gt;(20/72)-0.08,9,8)</f>
        <v>9</v>
      </c>
      <c r="O179" s="56">
        <f>IF(N174&gt;(20/72)-0.08,9,8)</f>
        <v>8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2.75" customHeight="1">
      <c r="A180" s="5"/>
      <c r="B180" s="5"/>
      <c r="C180" s="5"/>
      <c r="J180" s="71">
        <f>92*POWER(1.0035,(B166-Calculadora!B1))</f>
        <v>145.12079002090212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2.75" customHeight="1" thickBot="1"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3.5" customHeight="1" thickBot="1">
      <c r="A183" s="366" t="s">
        <v>55</v>
      </c>
      <c r="B183" s="346">
        <v>1</v>
      </c>
      <c r="C183" s="291">
        <v>0.9</v>
      </c>
      <c r="D183" s="35">
        <v>0.8</v>
      </c>
      <c r="E183" s="5"/>
      <c r="F183" s="8" t="s">
        <v>18</v>
      </c>
      <c r="G183" s="9"/>
      <c r="H183" s="5"/>
      <c r="I183" s="8" t="s">
        <v>1</v>
      </c>
      <c r="J183" s="10"/>
      <c r="K183" s="5"/>
      <c r="L183" s="52" t="s">
        <v>18</v>
      </c>
      <c r="M183" s="50">
        <f>B185*(M189-C184)*(M189-D184)/((B184-C184)*(B184-D184))+C185*(M189-B184)*(M189-D184)/((C184-B184)*(C184-D184))+D185*(M189-B184)*(M189-C184)/((D184-B184)*(D184-C184))</f>
        <v>0.4837086302304261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3.5" customHeight="1" thickBot="1">
      <c r="A184" s="289" t="s">
        <v>8</v>
      </c>
      <c r="B184" s="378">
        <v>268.60000000000002</v>
      </c>
      <c r="C184" s="292">
        <v>236.1</v>
      </c>
      <c r="D184" s="290">
        <v>203.45</v>
      </c>
      <c r="E184" s="5"/>
      <c r="F184" s="347" t="s">
        <v>20</v>
      </c>
      <c r="G184" s="305">
        <f>M183*$AO$2*Calculadora!$B$3</f>
        <v>1.8401369790753985</v>
      </c>
      <c r="H184" s="5"/>
      <c r="I184" s="309"/>
      <c r="J184" s="16"/>
      <c r="K184" s="17"/>
      <c r="L184" s="50" t="s">
        <v>21</v>
      </c>
      <c r="M184" s="51">
        <f>L196*POWER(K196,(B184-M189))</f>
        <v>3.8986578754321495</v>
      </c>
      <c r="N184" s="5"/>
      <c r="O184" s="5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2.75" customHeight="1" thickBot="1">
      <c r="A185" s="324" t="s">
        <v>18</v>
      </c>
      <c r="B185" s="295">
        <v>1.1040000000000001</v>
      </c>
      <c r="C185" s="297">
        <v>0.745</v>
      </c>
      <c r="D185" s="326">
        <v>0.51700000000000002</v>
      </c>
      <c r="E185" s="5"/>
      <c r="F185" s="329" t="s">
        <v>22</v>
      </c>
      <c r="G185" s="343">
        <f>IF(G191&gt;0,G184*M186,G184*M187)</f>
        <v>1.8195713274360727</v>
      </c>
      <c r="H185" s="5"/>
      <c r="I185" s="52" t="s">
        <v>23</v>
      </c>
      <c r="J185" s="313">
        <f>M183*Calculadora!$B$3*$AO$1</f>
        <v>0.59789674826811645</v>
      </c>
      <c r="K185" s="17"/>
      <c r="L185" s="50" t="s">
        <v>24</v>
      </c>
      <c r="M185" s="51">
        <f>L197*POWER(K197,(B184-M189))</f>
        <v>2.9899676957944328</v>
      </c>
      <c r="N185" s="5"/>
      <c r="O185" s="5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2.75" customHeight="1" thickBot="1">
      <c r="E186" s="5"/>
      <c r="F186" s="311" t="s">
        <v>25</v>
      </c>
      <c r="G186" s="348">
        <f>G185*J189</f>
        <v>1.8101337494810199</v>
      </c>
      <c r="H186" s="5"/>
      <c r="I186" s="329"/>
      <c r="J186" s="330"/>
      <c r="K186" s="17"/>
      <c r="L186" s="50" t="s">
        <v>26</v>
      </c>
      <c r="M186" s="51">
        <f>IF((M189&gt;0),((100+(G191/-J196))/100))</f>
        <v>0.98882384742376117</v>
      </c>
      <c r="N186" s="5"/>
      <c r="O186" s="5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2.75" customHeight="1" thickBot="1">
      <c r="E187" s="5"/>
      <c r="F187" s="301" t="s">
        <v>27</v>
      </c>
      <c r="G187" s="25">
        <f>G185/J190</f>
        <v>1.8303594327365253</v>
      </c>
      <c r="H187" s="5"/>
      <c r="I187" s="300" t="s">
        <v>28</v>
      </c>
      <c r="J187" s="26">
        <f>$AT$1*Calculadora!$B$3*M183*1*(1-(G191*0.016))</f>
        <v>0.56582225890740512</v>
      </c>
      <c r="K187" s="17"/>
      <c r="L187" s="50" t="s">
        <v>29</v>
      </c>
      <c r="M187" s="51">
        <f>IF((M189&gt;0),((100+(G191/-J197))/100))</f>
        <v>0.96516381575082977</v>
      </c>
      <c r="N187" s="5"/>
      <c r="O187" s="5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2.75" customHeight="1" thickBot="1">
      <c r="A188" s="449" t="s">
        <v>21</v>
      </c>
      <c r="B188" s="450">
        <v>1</v>
      </c>
      <c r="C188" s="451">
        <v>0.71</v>
      </c>
      <c r="E188" s="5"/>
      <c r="F188" s="5"/>
      <c r="G188" s="5"/>
      <c r="H188" s="5"/>
      <c r="I188" s="308" t="s">
        <v>30</v>
      </c>
      <c r="J188" s="350">
        <f>AT1*Calculadora!B3*M183*1.25*(1-(G191*0.016))</f>
        <v>0.7072778236342564</v>
      </c>
      <c r="K188" s="17"/>
      <c r="L188" s="52" t="s">
        <v>52</v>
      </c>
      <c r="M188" s="52">
        <f>M183/4*Calculadora!$B$5</f>
        <v>0</v>
      </c>
      <c r="N188" s="5"/>
      <c r="O188" s="5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2.75" customHeight="1" thickBot="1">
      <c r="A189" s="452" t="s">
        <v>21</v>
      </c>
      <c r="B189" s="453">
        <v>20</v>
      </c>
      <c r="C189" s="454">
        <f>C188</f>
        <v>0.71</v>
      </c>
      <c r="E189" s="5"/>
      <c r="F189" s="8" t="s">
        <v>0</v>
      </c>
      <c r="G189" s="5"/>
      <c r="H189" s="5"/>
      <c r="I189" s="52" t="s">
        <v>31</v>
      </c>
      <c r="J189" s="349">
        <f>(100+(J187*2.75/-3))/100</f>
        <v>0.99481329596001544</v>
      </c>
      <c r="K189" s="17"/>
      <c r="L189" s="52" t="s">
        <v>53</v>
      </c>
      <c r="M189" s="52">
        <f>CC!$Q$12</f>
        <v>131.55000000000001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2.75" customHeight="1" thickBot="1">
      <c r="A190" s="449" t="s">
        <v>21</v>
      </c>
      <c r="B190" s="450">
        <v>40</v>
      </c>
      <c r="C190" s="451">
        <f>C188</f>
        <v>0.71</v>
      </c>
      <c r="D190" s="5"/>
      <c r="E190" s="5"/>
      <c r="F190" s="15"/>
      <c r="G190" s="27"/>
      <c r="H190" s="5"/>
      <c r="I190" s="310" t="s">
        <v>32</v>
      </c>
      <c r="J190" s="28">
        <f>(100+(J188*5/-6))/100</f>
        <v>0.99410601813638122</v>
      </c>
      <c r="K190" s="17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2.75" customHeight="1" thickBot="1">
      <c r="A191" s="449" t="s">
        <v>409</v>
      </c>
      <c r="B191" s="450">
        <f>Calculadora!$B$2</f>
        <v>0.86</v>
      </c>
      <c r="C191" s="455">
        <f>C188*(B191-B189)*(B191-B190)/((B188-B189)*(B188-B190))+C189*(B191-B188)*(B191-B190)/((B189-B188)*(B189-B190))+C190*(B191-B188)*(B191-B189)/((B190-B188)*(B190-B189))</f>
        <v>0.71</v>
      </c>
      <c r="D191" s="5"/>
      <c r="E191" s="5"/>
      <c r="F191" s="21" t="s">
        <v>7</v>
      </c>
      <c r="G191" s="26">
        <f>IF(Calculadora!$B$2&gt;0,Calculadora!$B$2*M184,Calculadora!$B$2*M185)</f>
        <v>3.3528457728716483</v>
      </c>
      <c r="H191" s="5"/>
      <c r="I191" s="17"/>
      <c r="J191" s="17"/>
      <c r="M191" s="83" t="s">
        <v>9</v>
      </c>
      <c r="N191" s="335"/>
      <c r="O191" s="40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2.75" customHeight="1" thickBot="1">
      <c r="A192" s="919"/>
      <c r="B192" s="919"/>
      <c r="C192" s="456"/>
      <c r="D192" s="5"/>
      <c r="E192" s="5"/>
      <c r="F192" s="29"/>
      <c r="G192" s="30"/>
      <c r="H192" s="5"/>
      <c r="I192" s="31" t="s">
        <v>33</v>
      </c>
      <c r="J192" s="32">
        <f>M189+G191-J187</f>
        <v>134.33702351396425</v>
      </c>
      <c r="M192" s="84">
        <f>MOD(F196,20/72)</f>
        <v>0.22105535564670531</v>
      </c>
      <c r="N192" s="84">
        <f>MOD(F197,20/72)</f>
        <v>5.5423255693499818E-2</v>
      </c>
      <c r="O192" s="4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2.75" customHeight="1" thickBot="1">
      <c r="A193" s="457"/>
      <c r="B193" s="458"/>
      <c r="C193" s="457"/>
      <c r="D193" s="5"/>
      <c r="E193" s="17"/>
      <c r="F193" s="17"/>
      <c r="G193" s="17"/>
      <c r="H193" s="5"/>
      <c r="I193" s="24" t="s">
        <v>34</v>
      </c>
      <c r="J193" s="33">
        <f>M189+G191+J188</f>
        <v>135.61012359650593</v>
      </c>
      <c r="M193" s="84">
        <f>M192/(20/72)</f>
        <v>0.79579928032813907</v>
      </c>
      <c r="N193" s="84">
        <f>N192/(20/72)</f>
        <v>0.19952372049659933</v>
      </c>
      <c r="O193" s="4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3.5" customHeight="1" thickBot="1">
      <c r="A194" s="453" t="s">
        <v>49</v>
      </c>
      <c r="B194" s="454">
        <v>-1</v>
      </c>
      <c r="C194" s="459">
        <v>0.64</v>
      </c>
      <c r="M194" s="84">
        <f>IF(M193&lt;0.288,ROUNDDOWN(M193,0),ROUNDUP(M193,0))</f>
        <v>1</v>
      </c>
      <c r="N194" s="84">
        <f>IF(N193&lt;0.288,ROUNDDOWN(N193,0),ROUNDUP(N193,0))</f>
        <v>0</v>
      </c>
      <c r="O194" s="4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3.5" customHeight="1" thickBot="1">
      <c r="A195" s="453" t="s">
        <v>49</v>
      </c>
      <c r="B195" s="454">
        <v>-20</v>
      </c>
      <c r="C195" s="460">
        <f>MEDIAN(C194,C196)</f>
        <v>0.63</v>
      </c>
      <c r="E195" s="46" t="s">
        <v>46</v>
      </c>
      <c r="F195" s="46" t="s">
        <v>3</v>
      </c>
      <c r="G195" s="46" t="s">
        <v>13</v>
      </c>
      <c r="H195" s="55" t="s">
        <v>47</v>
      </c>
      <c r="J195" s="44" t="s">
        <v>48</v>
      </c>
      <c r="K195" s="44" t="s">
        <v>50</v>
      </c>
      <c r="L195" s="44" t="s">
        <v>51</v>
      </c>
      <c r="M195" s="85"/>
      <c r="N195" s="85"/>
      <c r="O195" s="4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3.5" customHeight="1" thickBot="1">
      <c r="A196" s="450" t="s">
        <v>49</v>
      </c>
      <c r="B196" s="451">
        <v>-40</v>
      </c>
      <c r="C196" s="461">
        <v>0.62</v>
      </c>
      <c r="D196" s="45" t="s">
        <v>43</v>
      </c>
      <c r="E196" s="171" t="e">
        <f>IF(M194=0,INDEX(CB!D5:D113,(ROUNDDOWN(((F196-70)/(20/72)+1),0)),1),INDEX(CB!D5:D113,(ROUNDUP(((F196-70)/(20/72))+1,0)),1))</f>
        <v>#VALUE!</v>
      </c>
      <c r="F196" s="48">
        <f>IF(J192&lt;=C184,80+(J192-D184)/((C184-D184)/10),90+(J192-C184)/((B184-C184)/10))</f>
        <v>58.832166466757819</v>
      </c>
      <c r="G196" s="48">
        <f>G186+M188</f>
        <v>1.8101337494810199</v>
      </c>
      <c r="H196" s="45">
        <f>N196</f>
        <v>9</v>
      </c>
      <c r="I196" s="53" t="s">
        <v>21</v>
      </c>
      <c r="J196" s="45">
        <v>3</v>
      </c>
      <c r="K196" s="45">
        <v>1.0124899999999999</v>
      </c>
      <c r="L196" s="45">
        <v>0.71140000000000003</v>
      </c>
      <c r="M196" s="52" t="s">
        <v>4</v>
      </c>
      <c r="N196" s="52">
        <f>IF(M192&lt;0.08,9,N197)</f>
        <v>9</v>
      </c>
      <c r="O196" s="313">
        <f>IF(N192&lt;0.08,9,O197)</f>
        <v>9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2.75" customHeight="1" thickBot="1">
      <c r="A197" s="450" t="s">
        <v>410</v>
      </c>
      <c r="B197" s="451">
        <f>Calculadora!$B$2</f>
        <v>0.86</v>
      </c>
      <c r="C197" s="455">
        <f>C194*(B197-B195)*(B197-B196)/((B194-B195)*(B194-B196))+C195*(B197-B194)*(B197-B196)/((B195-B194)*(B195-B196))+C196*(B197-B194)*(B197-B195)/((B196-B194)*(B196-B195))</f>
        <v>0.64100512793522268</v>
      </c>
      <c r="D197" s="47" t="s">
        <v>44</v>
      </c>
      <c r="E197" s="172" t="e">
        <f>IF(N194=0,INDEX(CB!D5:D113,(ROUNDDOWN(((F197-70)/(20/72)+1),0)),1),INDEX(CB!D5:D113,(ROUNDUP(((F197-70)/(20/72))+1,0)),1))</f>
        <v>#VALUE!</v>
      </c>
      <c r="F197" s="49">
        <f>IF(J193&lt;=C184,80+(J193-D184)/((C184-D184)/10),90+(J193-C184)/((B184-C184)/10))</f>
        <v>59.222089922360169</v>
      </c>
      <c r="G197" s="49">
        <f>G187+M188</f>
        <v>1.8303594327365253</v>
      </c>
      <c r="H197" s="47">
        <f>O196</f>
        <v>9</v>
      </c>
      <c r="I197" s="70" t="s">
        <v>49</v>
      </c>
      <c r="J197" s="49">
        <f>Calculadora!B1/J198</f>
        <v>0.96246068423854692</v>
      </c>
      <c r="K197" s="47">
        <v>1.0113000000000001</v>
      </c>
      <c r="L197" s="464">
        <f>C197</f>
        <v>0.64100512793522268</v>
      </c>
      <c r="M197" s="333"/>
      <c r="N197" s="86">
        <f>IF(M192&gt;(20/72)-0.08,9,8)</f>
        <v>9</v>
      </c>
      <c r="O197" s="56">
        <f>IF(N192&gt;(20/72)-0.08,9,8)</f>
        <v>8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2.75" customHeight="1">
      <c r="A198" s="5"/>
      <c r="B198" s="5"/>
      <c r="C198" s="5"/>
      <c r="J198" s="71">
        <f>69*POWER(1.005,(B184-Calculadora!B1))</f>
        <v>136.6809077547683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2.75" customHeight="1" thickBot="1"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2.75" customHeight="1" thickBot="1">
      <c r="A201" s="366" t="s">
        <v>56</v>
      </c>
      <c r="B201" s="346">
        <v>1</v>
      </c>
      <c r="C201" s="291">
        <v>0.9</v>
      </c>
      <c r="D201" s="35">
        <v>0.8</v>
      </c>
      <c r="E201" s="5"/>
      <c r="F201" s="8" t="s">
        <v>18</v>
      </c>
      <c r="G201" s="9"/>
      <c r="H201" s="5"/>
      <c r="I201" s="8" t="s">
        <v>1</v>
      </c>
      <c r="J201" s="10"/>
      <c r="K201" s="5"/>
      <c r="L201" s="52" t="s">
        <v>18</v>
      </c>
      <c r="M201" s="50">
        <f>B203*(M207-C202)*(M207-D202)/((B202-C202)*(B202-D202))+C203*(M207-B202)*(M207-D202)/((C202-B202)*(C202-D202))+D203*(M207-B202)*(M207-C202)/((D202-B202)*(D202-C202))</f>
        <v>0.50104310620478421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2.75" customHeight="1" thickBot="1">
      <c r="A202" s="289" t="s">
        <v>8</v>
      </c>
      <c r="B202" s="378">
        <v>263.64999999999998</v>
      </c>
      <c r="C202" s="292">
        <v>227.5</v>
      </c>
      <c r="D202" s="290">
        <v>192.3</v>
      </c>
      <c r="E202" s="5"/>
      <c r="F202" s="337" t="s">
        <v>20</v>
      </c>
      <c r="G202" s="302">
        <f>M201*$AO$2*Calculadora!$B$3</f>
        <v>1.9060812444032988</v>
      </c>
      <c r="H202" s="5"/>
      <c r="I202" s="317"/>
      <c r="J202" s="318"/>
      <c r="K202" s="17"/>
      <c r="L202" s="50" t="s">
        <v>21</v>
      </c>
      <c r="M202" s="51">
        <f>L214*POWER(K214,(B202-M207))</f>
        <v>3.6904772698585306</v>
      </c>
      <c r="N202" s="5"/>
      <c r="O202" s="5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2.75" customHeight="1" thickBot="1">
      <c r="A203" s="324" t="s">
        <v>18</v>
      </c>
      <c r="B203" s="325">
        <v>1.25</v>
      </c>
      <c r="C203" s="388">
        <v>0.81499999999999995</v>
      </c>
      <c r="D203" s="326">
        <v>0.55800000000000005</v>
      </c>
      <c r="E203" s="5"/>
      <c r="F203" s="329" t="s">
        <v>22</v>
      </c>
      <c r="G203" s="19">
        <f>IF(G209&gt;0,G202*M204,G202*M205)</f>
        <v>1.8892769650255277</v>
      </c>
      <c r="H203" s="5"/>
      <c r="I203" s="329" t="s">
        <v>23</v>
      </c>
      <c r="J203" s="349">
        <f>M201*Calculadora!$B$3*$AO$1</f>
        <v>0.61932333892675995</v>
      </c>
      <c r="K203" s="17"/>
      <c r="L203" s="50" t="s">
        <v>24</v>
      </c>
      <c r="M203" s="51">
        <f>L215*POWER(K215,(B202-M207))</f>
        <v>3.3682913989717349</v>
      </c>
      <c r="N203" s="5"/>
      <c r="O203" s="5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2.75" customHeight="1" thickBot="1">
      <c r="C204" s="87"/>
      <c r="D204" s="87"/>
      <c r="E204" s="5"/>
      <c r="F204" s="311" t="s">
        <v>25</v>
      </c>
      <c r="G204" s="379">
        <f>G203*J207</f>
        <v>1.884186458985365</v>
      </c>
      <c r="H204" s="5"/>
      <c r="I204" s="329"/>
      <c r="J204" s="330"/>
      <c r="K204" s="17"/>
      <c r="L204" s="50" t="s">
        <v>26</v>
      </c>
      <c r="M204" s="51">
        <f>IF((M207&gt;0),((100+(G209/-J214))/100))</f>
        <v>0.99118385985533797</v>
      </c>
      <c r="N204" s="5"/>
      <c r="O204" s="5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3.5" customHeight="1" thickBot="1">
      <c r="C205" s="87"/>
      <c r="D205" s="87"/>
      <c r="E205" s="5"/>
      <c r="F205" s="301" t="s">
        <v>27</v>
      </c>
      <c r="G205" s="25">
        <f>G203/J208</f>
        <v>1.9032629381038162</v>
      </c>
      <c r="H205" s="5"/>
      <c r="I205" s="311" t="s">
        <v>28</v>
      </c>
      <c r="J205" s="312">
        <f>$AT$1*Calculadora!$B$3*M201*1*(1-(G209*0.016))</f>
        <v>0.58787350074593103</v>
      </c>
      <c r="K205" s="17"/>
      <c r="L205" s="50" t="s">
        <v>29</v>
      </c>
      <c r="M205" s="51">
        <f>IF((M207&gt;0),((100+(G209/-J215))/100))</f>
        <v>0.9696931884648643</v>
      </c>
      <c r="N205" s="5"/>
      <c r="O205" s="5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2.75" customHeight="1" thickBot="1">
      <c r="A206" s="449" t="s">
        <v>21</v>
      </c>
      <c r="B206" s="450">
        <v>1</v>
      </c>
      <c r="C206" s="451">
        <v>0.67</v>
      </c>
      <c r="D206" s="72"/>
      <c r="E206" s="5"/>
      <c r="F206" s="5"/>
      <c r="G206" s="5"/>
      <c r="H206" s="5"/>
      <c r="I206" s="311" t="s">
        <v>30</v>
      </c>
      <c r="J206" s="312">
        <f>AT1*Calculadora!B3*M201*1.25*(1-(G209*0.016))</f>
        <v>0.73484187593241379</v>
      </c>
      <c r="K206" s="17"/>
      <c r="L206" s="52" t="s">
        <v>52</v>
      </c>
      <c r="M206" s="52">
        <f>M201/4*Calculadora!$B$5</f>
        <v>0</v>
      </c>
      <c r="N206" s="5"/>
      <c r="O206" s="5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2.75" customHeight="1" thickBot="1">
      <c r="A207" s="452" t="s">
        <v>21</v>
      </c>
      <c r="B207" s="453">
        <v>20</v>
      </c>
      <c r="C207" s="454">
        <f>C206</f>
        <v>0.67</v>
      </c>
      <c r="E207" s="5"/>
      <c r="F207" s="8" t="s">
        <v>0</v>
      </c>
      <c r="G207" s="5"/>
      <c r="H207" s="5"/>
      <c r="I207" s="329" t="s">
        <v>31</v>
      </c>
      <c r="J207" s="349">
        <f>(100+(J205*2.75/-6))/100</f>
        <v>0.99730557978824774</v>
      </c>
      <c r="K207" s="17"/>
      <c r="L207" s="52" t="s">
        <v>53</v>
      </c>
      <c r="M207" s="52">
        <f>CC!$Q$12</f>
        <v>131.55000000000001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2.75" customHeight="1" thickBot="1">
      <c r="A208" s="449" t="s">
        <v>21</v>
      </c>
      <c r="B208" s="450">
        <v>40</v>
      </c>
      <c r="C208" s="451">
        <f>C206</f>
        <v>0.67</v>
      </c>
      <c r="D208" s="5"/>
      <c r="E208" s="5"/>
      <c r="F208" s="344"/>
      <c r="G208" s="380"/>
      <c r="H208" s="5"/>
      <c r="I208" s="310" t="s">
        <v>32</v>
      </c>
      <c r="J208" s="28">
        <f>(100+(J206*5/-5))/100</f>
        <v>0.99265158124067587</v>
      </c>
      <c r="K208" s="17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3.5" customHeight="1" thickBot="1">
      <c r="A209" s="449" t="s">
        <v>409</v>
      </c>
      <c r="B209" s="450">
        <f>Calculadora!$B$2</f>
        <v>0.86</v>
      </c>
      <c r="C209" s="455">
        <f>C206*(B209-B207)*(B209-B208)/((B206-B207)*(B206-B208))+C207*(B209-B206)*(B209-B208)/((B207-B206)*(B207-B208))+C208*(B209-B206)*(B209-B207)/((B208-B206)*(B208-B207))</f>
        <v>0.66999999999999993</v>
      </c>
      <c r="D209" s="5"/>
      <c r="E209" s="5"/>
      <c r="F209" s="311" t="s">
        <v>7</v>
      </c>
      <c r="G209" s="382">
        <f>IF(Calculadora!$B$2&gt;0,Calculadora!$B$2*M202,Calculadora!$B$2*M203)</f>
        <v>3.1738104520783361</v>
      </c>
      <c r="H209" s="5"/>
      <c r="I209" s="17"/>
      <c r="J209" s="17"/>
      <c r="M209" s="83" t="s">
        <v>9</v>
      </c>
      <c r="N209" s="335"/>
      <c r="O209" s="40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3.5" customHeight="1" thickBot="1">
      <c r="A210" s="919"/>
      <c r="B210" s="919"/>
      <c r="C210" s="456"/>
      <c r="D210" s="5"/>
      <c r="E210" s="5"/>
      <c r="F210" s="381"/>
      <c r="G210" s="30"/>
      <c r="H210" s="5"/>
      <c r="I210" s="352" t="s">
        <v>33</v>
      </c>
      <c r="J210" s="351">
        <f>M207+G209-J205</f>
        <v>134.13593695133241</v>
      </c>
      <c r="M210" s="84">
        <f>MOD(F214,20/72)</f>
        <v>0.14278511874972066</v>
      </c>
      <c r="N210" s="84">
        <f>MOD(F215,20/72)</f>
        <v>0.24077875480102084</v>
      </c>
      <c r="O210" s="4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2.75" customHeight="1" thickBot="1">
      <c r="A211" s="457"/>
      <c r="B211" s="458"/>
      <c r="C211" s="457"/>
      <c r="D211" s="5"/>
      <c r="E211" s="17"/>
      <c r="F211" s="17"/>
      <c r="G211" s="17"/>
      <c r="H211" s="5"/>
      <c r="I211" s="301" t="s">
        <v>34</v>
      </c>
      <c r="J211" s="33">
        <f>M207+G209+J206</f>
        <v>135.45865232801074</v>
      </c>
      <c r="M211" s="84">
        <f>M210/(20/72)</f>
        <v>0.51402642749899441</v>
      </c>
      <c r="N211" s="84">
        <f>N210/(20/72)</f>
        <v>0.866803517283675</v>
      </c>
      <c r="O211" s="4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2.75" customHeight="1" thickBot="1">
      <c r="A212" s="453" t="s">
        <v>49</v>
      </c>
      <c r="B212" s="454">
        <v>-1</v>
      </c>
      <c r="C212" s="459">
        <v>0.61</v>
      </c>
      <c r="M212" s="84">
        <f>IF(M211&lt;0.288,ROUNDDOWN(M211,0),ROUNDUP(M211,0))</f>
        <v>1</v>
      </c>
      <c r="N212" s="84">
        <f>IF(N211&lt;0.288,ROUNDDOWN(N211,0),ROUNDUP(N211,0))</f>
        <v>1</v>
      </c>
      <c r="O212" s="4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2.75" customHeight="1" thickBot="1">
      <c r="A213" s="453" t="s">
        <v>49</v>
      </c>
      <c r="B213" s="454">
        <v>-20</v>
      </c>
      <c r="C213" s="460">
        <f>MEDIAN(C212,C214)</f>
        <v>0.59499999999999997</v>
      </c>
      <c r="E213" s="46" t="s">
        <v>46</v>
      </c>
      <c r="F213" s="46" t="s">
        <v>3</v>
      </c>
      <c r="G213" s="46" t="s">
        <v>13</v>
      </c>
      <c r="H213" s="55" t="s">
        <v>47</v>
      </c>
      <c r="J213" s="44" t="s">
        <v>48</v>
      </c>
      <c r="K213" s="44" t="s">
        <v>50</v>
      </c>
      <c r="L213" s="44" t="s">
        <v>51</v>
      </c>
      <c r="M213" s="333"/>
      <c r="N213" s="333"/>
      <c r="O213" s="334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2.75" customHeight="1" thickBot="1">
      <c r="A214" s="450" t="s">
        <v>49</v>
      </c>
      <c r="B214" s="451">
        <v>-40</v>
      </c>
      <c r="C214" s="461">
        <v>0.57999999999999996</v>
      </c>
      <c r="D214" s="45" t="s">
        <v>43</v>
      </c>
      <c r="E214" s="171" t="e">
        <f>IF(M212=0,INDEX(CB!B5:B113,(ROUNDDOWN(((F214-70)/(20/72)+1),0)),1),INDEX(CB!B5:B113,(ROUNDUP(((F214-70)/(20/72))+1,0)),1))</f>
        <v>#VALUE!</v>
      </c>
      <c r="F214" s="48">
        <f>IF(J210&lt;=C202,80+(J210-D202)/((C202-D202)/10),90+(J210-C202)/((B202-C202)/10))</f>
        <v>63.476118452083057</v>
      </c>
      <c r="G214" s="48">
        <f>G204+M206</f>
        <v>1.884186458985365</v>
      </c>
      <c r="H214" s="45">
        <f>N214</f>
        <v>29</v>
      </c>
      <c r="I214" s="53" t="s">
        <v>21</v>
      </c>
      <c r="J214" s="45">
        <v>3.6</v>
      </c>
      <c r="K214" s="45">
        <v>1.0129999999999999</v>
      </c>
      <c r="L214" s="463">
        <f>C209</f>
        <v>0.66999999999999993</v>
      </c>
      <c r="M214" s="86" t="s">
        <v>4</v>
      </c>
      <c r="N214" s="86">
        <f>IF(M210&lt;0.08,30,N215)</f>
        <v>29</v>
      </c>
      <c r="O214" s="56">
        <f>IF(N210&lt;0.08,30,O215)</f>
        <v>30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2.75" customHeight="1" thickBot="1">
      <c r="A215" s="450" t="s">
        <v>410</v>
      </c>
      <c r="B215" s="451">
        <f>Calculadora!$B$2</f>
        <v>0.86</v>
      </c>
      <c r="C215" s="455">
        <f>C212*(B215-B213)*(B215-B214)/((B212-B213)*(B212-B214))+C213*(B215-B212)*(B215-B214)/((B213-B212)*(B213-B214))+C214*(B215-B212)*(B215-B213)/((B214-B212)*(B214-B213))</f>
        <v>0.61150769190283394</v>
      </c>
      <c r="D215" s="47" t="s">
        <v>44</v>
      </c>
      <c r="E215" s="172" t="e">
        <f>IF(N212=0,INDEX(CB!B5:B113,(ROUNDDOWN(((F215-70)/(20/72)+1),0)),1),INDEX(CB!B5:B113,(ROUNDUP(((F215-70)/(20/72))+1,0)),1))</f>
        <v>#VALUE!</v>
      </c>
      <c r="F215" s="49">
        <f>IF(J211&lt;=C202,80+(J211-D202)/((C202-D202)/10),90+(J211-C202)/((B202-C202)/10))</f>
        <v>63.851889865912135</v>
      </c>
      <c r="G215" s="49">
        <f>G205+M206</f>
        <v>1.9032629381038162</v>
      </c>
      <c r="H215" s="47">
        <f>O214</f>
        <v>30</v>
      </c>
      <c r="I215" s="70" t="s">
        <v>49</v>
      </c>
      <c r="J215" s="49">
        <f>Calculadora!B1/J216</f>
        <v>1.0472267755381766</v>
      </c>
      <c r="K215" s="47">
        <v>1.0129999999999999</v>
      </c>
      <c r="L215" s="464">
        <f>C215</f>
        <v>0.61150769190283394</v>
      </c>
      <c r="M215" s="333"/>
      <c r="N215" s="86">
        <f>IF(M210&gt;(20/72)-0.08,30,29)</f>
        <v>29</v>
      </c>
      <c r="O215" s="56">
        <f>IF(N210&gt;(20/72)-0.08,30,29)</f>
        <v>30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2.75" customHeight="1">
      <c r="A216" s="5"/>
      <c r="B216" s="5"/>
      <c r="C216" s="5"/>
      <c r="J216" s="71">
        <f>65*POWER(1.005,(B202-Calculadora!B1))</f>
        <v>125.61749095117973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2.75" customHeight="1" thickBot="1"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2.75" customHeight="1" thickBot="1">
      <c r="A219" s="366" t="s">
        <v>57</v>
      </c>
      <c r="B219" s="346">
        <v>1</v>
      </c>
      <c r="C219" s="291">
        <v>0.9</v>
      </c>
      <c r="D219" s="35">
        <v>0.8</v>
      </c>
      <c r="E219" s="5"/>
      <c r="F219" s="8" t="s">
        <v>18</v>
      </c>
      <c r="G219" s="9"/>
      <c r="H219" s="5"/>
      <c r="I219" s="8" t="s">
        <v>1</v>
      </c>
      <c r="J219" s="10"/>
      <c r="K219" s="5"/>
      <c r="L219" s="52" t="s">
        <v>18</v>
      </c>
      <c r="M219" s="50">
        <f>B221*(M225-C220)*(M225-D220)/((B220-C220)*(B220-D220))+C221*(M225-B220)*(M225-D220)/((C220-B220)*(C220-D220))+D221*(M225-B220)*(M225-C220)/((D220-B220)*(D220-C220))</f>
        <v>0.37756712439586471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3.5" customHeight="1" thickBot="1">
      <c r="A220" s="289" t="s">
        <v>8</v>
      </c>
      <c r="B220" s="378">
        <v>276.7</v>
      </c>
      <c r="C220" s="292">
        <v>240.8</v>
      </c>
      <c r="D220" s="290">
        <v>205.5</v>
      </c>
      <c r="E220" s="5"/>
      <c r="F220" s="298" t="s">
        <v>20</v>
      </c>
      <c r="G220" s="302">
        <f>M219*$AO$2*Calculadora!$B$3</f>
        <v>1.4363506959820398</v>
      </c>
      <c r="H220" s="5"/>
      <c r="I220" s="15"/>
      <c r="J220" s="384"/>
      <c r="K220" s="17"/>
      <c r="L220" s="50" t="s">
        <v>21</v>
      </c>
      <c r="M220" s="51">
        <f>L232*POWER(K232,(B220-M225))</f>
        <v>3.9202849472317922</v>
      </c>
      <c r="N220" s="5"/>
      <c r="O220" s="5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3.5" customHeight="1" thickBot="1">
      <c r="A221" s="324" t="s">
        <v>18</v>
      </c>
      <c r="B221" s="295">
        <v>1.32</v>
      </c>
      <c r="C221" s="297">
        <v>0.88600000000000001</v>
      </c>
      <c r="D221" s="326">
        <v>0.58799999999999997</v>
      </c>
      <c r="E221" s="5"/>
      <c r="F221" s="52" t="s">
        <v>22</v>
      </c>
      <c r="G221" s="383">
        <f>IF(G227&gt;0,G220*M222,G220*M223)</f>
        <v>1.4228990919524074</v>
      </c>
      <c r="H221" s="5"/>
      <c r="I221" s="52" t="s">
        <v>23</v>
      </c>
      <c r="J221" s="313">
        <f>M219*Calculadora!$B$3*$AO$1</f>
        <v>0.46669863182240806</v>
      </c>
      <c r="K221" s="17"/>
      <c r="L221" s="50" t="s">
        <v>24</v>
      </c>
      <c r="M221" s="51">
        <f>L233*POWER(K233,(B220-M225))</f>
        <v>3.2352065385685194</v>
      </c>
      <c r="N221" s="5"/>
      <c r="O221" s="5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3.5" customHeight="1" thickBot="1">
      <c r="E222" s="5"/>
      <c r="F222" s="300" t="s">
        <v>25</v>
      </c>
      <c r="G222" s="22">
        <f>G221*J225</f>
        <v>1.4200196434131036</v>
      </c>
      <c r="H222" s="5"/>
      <c r="I222" s="86"/>
      <c r="J222" s="385"/>
      <c r="K222" s="17"/>
      <c r="L222" s="50" t="s">
        <v>26</v>
      </c>
      <c r="M222" s="51">
        <f>IF((M225&gt;0),((100+(G227/-J232))/100))</f>
        <v>0.99063487484827961</v>
      </c>
      <c r="N222" s="5"/>
      <c r="O222" s="5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2.75" customHeight="1" thickBot="1">
      <c r="E223" s="5"/>
      <c r="F223" s="308" t="s">
        <v>27</v>
      </c>
      <c r="G223" s="370">
        <f>G221/J226</f>
        <v>1.4307957152277442</v>
      </c>
      <c r="H223" s="5"/>
      <c r="I223" s="311" t="s">
        <v>28</v>
      </c>
      <c r="J223" s="312">
        <f>$AT$1*Calculadora!$B$3*M219*1*(1-(G227*0.016))</f>
        <v>0.44152345111432378</v>
      </c>
      <c r="K223" s="17"/>
      <c r="L223" s="50" t="s">
        <v>29</v>
      </c>
      <c r="M223" s="51">
        <f>IF((M225&gt;0),((100+(G227/-J233))/100))</f>
        <v>0.96985899796937158</v>
      </c>
      <c r="N223" s="5"/>
      <c r="O223" s="5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2.75" customHeight="1" thickBot="1">
      <c r="A224" s="449" t="s">
        <v>21</v>
      </c>
      <c r="B224" s="450">
        <v>1</v>
      </c>
      <c r="C224" s="451">
        <v>0.61</v>
      </c>
      <c r="E224" s="5"/>
      <c r="F224" s="5"/>
      <c r="G224" s="5"/>
      <c r="H224" s="5"/>
      <c r="I224" s="311" t="s">
        <v>30</v>
      </c>
      <c r="J224" s="312">
        <f>AT1*Calculadora!B3*M219*1.25*(1-(G227*0.016))</f>
        <v>0.55190431389290473</v>
      </c>
      <c r="K224" s="17"/>
      <c r="L224" s="52" t="s">
        <v>52</v>
      </c>
      <c r="M224" s="52">
        <f>M219/4*Calculadora!$B$5</f>
        <v>0</v>
      </c>
      <c r="N224" s="5"/>
      <c r="O224" s="5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2.75" customHeight="1" thickBot="1">
      <c r="A225" s="452" t="s">
        <v>21</v>
      </c>
      <c r="B225" s="453">
        <v>20</v>
      </c>
      <c r="C225" s="454">
        <f>C224</f>
        <v>0.61</v>
      </c>
      <c r="E225" s="5"/>
      <c r="F225" s="8" t="s">
        <v>0</v>
      </c>
      <c r="G225" s="5"/>
      <c r="H225" s="5"/>
      <c r="I225" s="331" t="s">
        <v>31</v>
      </c>
      <c r="J225" s="332">
        <f>(100+(J223*2.75/-6))/100</f>
        <v>0.99797635084905933</v>
      </c>
      <c r="K225" s="17"/>
      <c r="L225" s="52" t="s">
        <v>53</v>
      </c>
      <c r="M225" s="52">
        <f>CC!$Q$12</f>
        <v>131.55000000000001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2.75" customHeight="1" thickBot="1">
      <c r="A226" s="449" t="s">
        <v>21</v>
      </c>
      <c r="B226" s="450">
        <v>40</v>
      </c>
      <c r="C226" s="451">
        <f>C224</f>
        <v>0.61</v>
      </c>
      <c r="D226" s="5"/>
      <c r="E226" s="5"/>
      <c r="F226" s="317"/>
      <c r="G226" s="322"/>
      <c r="H226" s="5"/>
      <c r="I226" s="310" t="s">
        <v>32</v>
      </c>
      <c r="J226" s="28">
        <f>(100+(J224*5/-5))/100</f>
        <v>0.99448095686107096</v>
      </c>
      <c r="K226" s="17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2.75" customHeight="1" thickBot="1">
      <c r="A227" s="449" t="s">
        <v>409</v>
      </c>
      <c r="B227" s="450">
        <f>Calculadora!$B$2</f>
        <v>0.86</v>
      </c>
      <c r="C227" s="455">
        <f>C224*(B227-B225)*(B227-B226)/((B224-B225)*(B224-B226))+C225*(B227-B224)*(B227-B226)/((B225-B224)*(B225-B226))+C226*(B227-B224)*(B227-B225)/((B226-B224)*(B226-B225))</f>
        <v>0.60999999999999988</v>
      </c>
      <c r="D227" s="5"/>
      <c r="E227" s="5"/>
      <c r="F227" s="311" t="s">
        <v>7</v>
      </c>
      <c r="G227" s="312">
        <f>IF(Calculadora!$B$2&gt;0,Calculadora!$B$2*M220,Calculadora!$B$2*M221)</f>
        <v>3.3714450546193411</v>
      </c>
      <c r="H227" s="5"/>
      <c r="I227" s="17"/>
      <c r="J227" s="17"/>
      <c r="M227" s="83" t="s">
        <v>9</v>
      </c>
      <c r="N227" s="335"/>
      <c r="O227" s="40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2.75" customHeight="1" thickBot="1">
      <c r="A228" s="919"/>
      <c r="B228" s="919"/>
      <c r="C228" s="456"/>
      <c r="D228" s="5"/>
      <c r="E228" s="5"/>
      <c r="F228" s="321"/>
      <c r="G228" s="30"/>
      <c r="H228" s="5"/>
      <c r="I228" s="352" t="s">
        <v>33</v>
      </c>
      <c r="J228" s="351">
        <f>M225+G227-J223</f>
        <v>134.47992160350501</v>
      </c>
      <c r="M228" s="84">
        <f>MOD(F232,20/72)</f>
        <v>0.15877539916730055</v>
      </c>
      <c r="N228" s="84">
        <f>MOD(F233,20/72)</f>
        <v>0.16242191742556589</v>
      </c>
      <c r="O228" s="4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2.75" customHeight="1" thickBot="1">
      <c r="A229" s="457"/>
      <c r="B229" s="458"/>
      <c r="C229" s="457"/>
      <c r="D229" s="5"/>
      <c r="E229" s="17"/>
      <c r="F229" s="17"/>
      <c r="G229" s="17"/>
      <c r="H229" s="5"/>
      <c r="I229" s="301" t="s">
        <v>34</v>
      </c>
      <c r="J229" s="33">
        <f>M225+G227+J224</f>
        <v>135.47334936851223</v>
      </c>
      <c r="M229" s="84">
        <f>M228/(20/72)</f>
        <v>0.57159143700228199</v>
      </c>
      <c r="N229" s="84">
        <f>N228/(20/72)</f>
        <v>0.58471890273203719</v>
      </c>
      <c r="O229" s="4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2.75" customHeight="1" thickBot="1">
      <c r="A230" s="453" t="s">
        <v>49</v>
      </c>
      <c r="B230" s="454">
        <v>-1</v>
      </c>
      <c r="C230" s="459">
        <v>0.57999999999999996</v>
      </c>
      <c r="M230" s="84">
        <f>IF(M229&lt;0.288,ROUNDDOWN(M229,0),ROUNDUP(M229,0))</f>
        <v>1</v>
      </c>
      <c r="N230" s="84">
        <f>IF(N229&lt;0.288,ROUNDDOWN(N229,0),ROUNDUP(N229,0))</f>
        <v>1</v>
      </c>
      <c r="O230" s="4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3.5" customHeight="1" thickBot="1">
      <c r="A231" s="453" t="s">
        <v>49</v>
      </c>
      <c r="B231" s="454">
        <v>-20</v>
      </c>
      <c r="C231" s="460">
        <f>MEDIAN(C230,C232)</f>
        <v>0.57000000000000006</v>
      </c>
      <c r="E231" s="46" t="s">
        <v>46</v>
      </c>
      <c r="F231" s="46" t="s">
        <v>3</v>
      </c>
      <c r="G231" s="46" t="s">
        <v>13</v>
      </c>
      <c r="H231" s="55" t="s">
        <v>47</v>
      </c>
      <c r="J231" s="44" t="s">
        <v>48</v>
      </c>
      <c r="K231" s="44" t="s">
        <v>50</v>
      </c>
      <c r="L231" s="44" t="s">
        <v>51</v>
      </c>
      <c r="M231" s="333"/>
      <c r="N231" s="333"/>
      <c r="O231" s="4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2.75" customHeight="1" thickBot="1">
      <c r="A232" s="450" t="s">
        <v>49</v>
      </c>
      <c r="B232" s="451">
        <v>-40</v>
      </c>
      <c r="C232" s="461">
        <v>0.56000000000000005</v>
      </c>
      <c r="D232" s="45" t="s">
        <v>43</v>
      </c>
      <c r="E232" s="45" t="e">
        <f>IF(M230=0,INDEX(CB!C5:C113,(ROUNDDOWN(((F232-70)/(20/72)+1),0)),1),INDEX(CB!C5:C113,(ROUNDUP(((F232-70)/(20/72))+1,0)),1))</f>
        <v>#VALUE!</v>
      </c>
      <c r="F232" s="48">
        <f>IF(J228&lt;=C220,80+(J228-D220)/((C220-D220)/10),90+(J228-C220)/((B220-C220)/10))</f>
        <v>59.880997621389525</v>
      </c>
      <c r="G232" s="48">
        <f>G222+M224</f>
        <v>1.4200196434131036</v>
      </c>
      <c r="H232" s="45">
        <f>N232</f>
        <v>29</v>
      </c>
      <c r="I232" s="53" t="s">
        <v>21</v>
      </c>
      <c r="J232" s="45">
        <v>3.6</v>
      </c>
      <c r="K232" s="45">
        <v>1.0128999999999999</v>
      </c>
      <c r="L232" s="463">
        <f>C227</f>
        <v>0.60999999999999988</v>
      </c>
      <c r="M232" s="86" t="s">
        <v>4</v>
      </c>
      <c r="N232" s="86">
        <f>IF(M228&lt;0.08,30,N233)</f>
        <v>29</v>
      </c>
      <c r="O232" s="52">
        <f>IF(N228&lt;0.08,30,O233)</f>
        <v>29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2.75" customHeight="1" thickBot="1">
      <c r="A233" s="450" t="s">
        <v>410</v>
      </c>
      <c r="B233" s="451">
        <f>Calculadora!$B$2</f>
        <v>0.86</v>
      </c>
      <c r="C233" s="455">
        <f>C230*(B233-B231)*(B233-B232)/((B230-B231)*(B230-B232))+C231*(B233-B230)*(B233-B232)/((B231-B230)*(B231-B232))+C232*(B233-B230)*(B233-B231)/((B232-B230)*(B232-B231))</f>
        <v>0.58100512793522263</v>
      </c>
      <c r="D233" s="47" t="s">
        <v>44</v>
      </c>
      <c r="E233" s="172" t="e">
        <f>IF(N230=0,INDEX(CB!C5:C113,(ROUNDDOWN(((F233-70)/(20/72)+1),0)),1),INDEX(CB!C5:C113,(ROUNDUP(((F233-70)/(20/72))+1,0)),1))</f>
        <v>#VALUE!</v>
      </c>
      <c r="F233" s="49">
        <f>IF(J229&lt;=C220,80+(J229-D220)/((C220-D220)/10),90+(J229-C220)/((B220-C220)/10))</f>
        <v>60.162421917425569</v>
      </c>
      <c r="G233" s="49">
        <f>G223+M224</f>
        <v>1.4307957152277442</v>
      </c>
      <c r="H233" s="47">
        <f>O232</f>
        <v>29</v>
      </c>
      <c r="I233" s="70" t="s">
        <v>49</v>
      </c>
      <c r="J233" s="49">
        <f>Calculadora!B1/J234</f>
        <v>1.1185577212042868</v>
      </c>
      <c r="K233" s="47">
        <v>1.0119</v>
      </c>
      <c r="L233" s="464">
        <f>C233</f>
        <v>0.58100512793522263</v>
      </c>
      <c r="M233" s="333"/>
      <c r="N233" s="86">
        <f>IF(M228&gt;(20/72)-0.08,30,29)</f>
        <v>29</v>
      </c>
      <c r="O233" s="56">
        <f>IF(N228&gt;(20/72)-0.08,30,29)</f>
        <v>29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2.75" customHeight="1">
      <c r="A234" s="5"/>
      <c r="B234" s="5"/>
      <c r="C234" s="5"/>
      <c r="J234" s="71">
        <f>88*POWER(1.002,(B220-Calculadora!B1))</f>
        <v>117.60680517976996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3.5" customHeight="1" thickBot="1"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2.75" customHeight="1" thickBot="1">
      <c r="A237" s="366" t="s">
        <v>58</v>
      </c>
      <c r="B237" s="369">
        <v>1</v>
      </c>
      <c r="C237" s="368">
        <v>0.9</v>
      </c>
      <c r="D237" s="365">
        <v>0.8</v>
      </c>
      <c r="E237" s="5"/>
      <c r="F237" s="8" t="s">
        <v>18</v>
      </c>
      <c r="G237" s="9"/>
      <c r="H237" s="5"/>
      <c r="I237" s="8" t="s">
        <v>1</v>
      </c>
      <c r="J237" s="10"/>
      <c r="K237" s="5"/>
      <c r="L237" s="52" t="s">
        <v>18</v>
      </c>
      <c r="M237" s="50">
        <f>B239*(M243-C238)*(M243-D238)/((B238-C238)*(B238-D238))+C239*(M243-B238)*(M243-D238)/((C238-B238)*(C238-D238))+D239*(M243-B238)*(M243-C238)/((D238-B238)*(D238-C238))</f>
        <v>0.50886769661884035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2.75" customHeight="1" thickBot="1">
      <c r="A238" s="387" t="s">
        <v>8</v>
      </c>
      <c r="B238" s="388">
        <v>284</v>
      </c>
      <c r="C238" s="297">
        <v>248.1</v>
      </c>
      <c r="D238" s="297">
        <v>212.6</v>
      </c>
      <c r="E238" s="5"/>
      <c r="F238" s="12" t="s">
        <v>20</v>
      </c>
      <c r="G238" s="14">
        <f>M237*$AO$2*Calculadora!$B$3</f>
        <v>1.9358477552058135</v>
      </c>
      <c r="H238" s="5"/>
      <c r="I238" s="317"/>
      <c r="J238" s="318"/>
      <c r="K238" s="17"/>
      <c r="L238" s="50" t="s">
        <v>21</v>
      </c>
      <c r="M238" s="51">
        <f>L250*POWER(K250,(B238-M243))</f>
        <v>4.064736858923685</v>
      </c>
      <c r="N238" s="5"/>
      <c r="O238" s="5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2.75" customHeight="1" thickBot="1">
      <c r="A239" s="293" t="s">
        <v>18</v>
      </c>
      <c r="B239" s="295">
        <v>1.335</v>
      </c>
      <c r="C239" s="297">
        <v>0.88300000000000001</v>
      </c>
      <c r="D239" s="386">
        <v>0.59199999999999997</v>
      </c>
      <c r="E239" s="5"/>
      <c r="F239" s="18" t="s">
        <v>22</v>
      </c>
      <c r="G239" s="19">
        <f>IF(G245&gt;0,G238*M240,G238*M241)</f>
        <v>1.9197356311998357</v>
      </c>
      <c r="H239" s="5"/>
      <c r="I239" s="329" t="s">
        <v>23</v>
      </c>
      <c r="J239" s="349">
        <f>M237*Calculadora!$B$3*$AO$1</f>
        <v>0.62899506457462662</v>
      </c>
      <c r="K239" s="17"/>
      <c r="L239" s="50" t="s">
        <v>24</v>
      </c>
      <c r="M239" s="51">
        <f>L251*POWER(K251,(B238-M243))</f>
        <v>3.7842358883688183</v>
      </c>
      <c r="N239" s="5"/>
      <c r="O239" s="5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2.75" customHeight="1" thickBot="1">
      <c r="E240" s="5"/>
      <c r="F240" s="21" t="s">
        <v>25</v>
      </c>
      <c r="G240" s="22">
        <f>G239*J243</f>
        <v>1.914510779771069</v>
      </c>
      <c r="H240" s="5"/>
      <c r="I240" s="329"/>
      <c r="J240" s="330"/>
      <c r="K240" s="17"/>
      <c r="L240" s="50" t="s">
        <v>26</v>
      </c>
      <c r="M240" s="51">
        <f>IF((M243&gt;0),((100+(G245/-J250))/100))</f>
        <v>0.99167696738410871</v>
      </c>
      <c r="N240" s="5"/>
      <c r="O240" s="5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2.75" customHeight="1" thickBot="1">
      <c r="E241" s="5"/>
      <c r="F241" s="24" t="s">
        <v>27</v>
      </c>
      <c r="G241" s="25">
        <f>G239/J244</f>
        <v>1.9340917872441388</v>
      </c>
      <c r="H241" s="5"/>
      <c r="I241" s="300" t="s">
        <v>28</v>
      </c>
      <c r="J241" s="26">
        <f>$AT$1*Calculadora!$B$3*M237*1*(1-(G245*0.016))</f>
        <v>0.59381488051335451</v>
      </c>
      <c r="K241" s="17"/>
      <c r="L241" s="50" t="s">
        <v>29</v>
      </c>
      <c r="M241" s="51">
        <f>IF((M243&gt;0),((100+(G245/-J251))/100))</f>
        <v>0.97376406447744912</v>
      </c>
      <c r="N241" s="5"/>
      <c r="O241" s="5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2.75" customHeight="1" thickBot="1">
      <c r="A242" s="449" t="s">
        <v>21</v>
      </c>
      <c r="B242" s="450">
        <v>1</v>
      </c>
      <c r="C242" s="451">
        <v>0.64</v>
      </c>
      <c r="E242" s="5"/>
      <c r="F242" s="5"/>
      <c r="G242" s="5"/>
      <c r="H242" s="5"/>
      <c r="I242" s="308" t="s">
        <v>30</v>
      </c>
      <c r="J242" s="361">
        <f>AT1*Calculadora!B3*M237*1.25*(1-(G245*0.016))</f>
        <v>0.7422686006416932</v>
      </c>
      <c r="K242" s="17"/>
      <c r="L242" s="52" t="s">
        <v>52</v>
      </c>
      <c r="M242" s="52">
        <f>M237/4*Calculadora!$B$5</f>
        <v>0</v>
      </c>
      <c r="N242" s="5"/>
      <c r="O242" s="5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2.75" customHeight="1" thickBot="1">
      <c r="A243" s="452" t="s">
        <v>21</v>
      </c>
      <c r="B243" s="453">
        <v>20</v>
      </c>
      <c r="C243" s="454">
        <f>C242</f>
        <v>0.64</v>
      </c>
      <c r="E243" s="5"/>
      <c r="F243" s="8" t="s">
        <v>0</v>
      </c>
      <c r="G243" s="5"/>
      <c r="H243" s="5"/>
      <c r="I243" s="329" t="s">
        <v>31</v>
      </c>
      <c r="J243" s="349">
        <f>(100+(J241*2.75/-6))/100</f>
        <v>0.99727834846431374</v>
      </c>
      <c r="K243" s="17"/>
      <c r="L243" s="52" t="s">
        <v>53</v>
      </c>
      <c r="M243" s="52">
        <f>CC!$Q$12</f>
        <v>131.55000000000001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2.75" customHeight="1" thickBot="1">
      <c r="A244" s="449" t="s">
        <v>21</v>
      </c>
      <c r="B244" s="450">
        <v>40</v>
      </c>
      <c r="C244" s="451">
        <f>C242</f>
        <v>0.64</v>
      </c>
      <c r="D244" s="5"/>
      <c r="E244" s="5"/>
      <c r="F244" s="317"/>
      <c r="G244" s="322"/>
      <c r="H244" s="5"/>
      <c r="I244" s="389" t="s">
        <v>32</v>
      </c>
      <c r="J244" s="28">
        <f>(100+(J242*5/-5))/100</f>
        <v>0.99257731399358307</v>
      </c>
      <c r="K244" s="17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2.75" customHeight="1" thickBot="1">
      <c r="A245" s="449" t="s">
        <v>409</v>
      </c>
      <c r="B245" s="450">
        <f>Calculadora!$B$2</f>
        <v>0.86</v>
      </c>
      <c r="C245" s="455">
        <f>C242*(B245-B243)*(B245-B244)/((B242-B243)*(B242-B244))+C243*(B245-B242)*(B245-B244)/((B243-B242)*(B243-B244))+C244*(B245-B242)*(B245-B243)/((B244-B242)*(B244-B243))</f>
        <v>0.64</v>
      </c>
      <c r="D245" s="5"/>
      <c r="E245" s="5"/>
      <c r="F245" s="311" t="s">
        <v>7</v>
      </c>
      <c r="G245" s="312">
        <f>IF(Calculadora!$B$2&gt;0,Calculadora!$B$2*M238,Calculadora!$B$2*M239)</f>
        <v>3.4956736986743691</v>
      </c>
      <c r="H245" s="5"/>
      <c r="I245" s="17"/>
      <c r="J245" s="17"/>
      <c r="M245" s="83" t="s">
        <v>9</v>
      </c>
      <c r="N245" s="335"/>
      <c r="O245" s="40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3.5" customHeight="1" thickBot="1">
      <c r="A246" s="919"/>
      <c r="B246" s="919"/>
      <c r="C246" s="456"/>
      <c r="D246" s="5"/>
      <c r="E246" s="5"/>
      <c r="F246" s="321"/>
      <c r="G246" s="30"/>
      <c r="H246" s="5"/>
      <c r="I246" s="320" t="s">
        <v>33</v>
      </c>
      <c r="J246" s="32">
        <f>M243+G245-J241</f>
        <v>134.45185881816104</v>
      </c>
      <c r="M246" s="84">
        <f>MOD(F250,20/72)</f>
        <v>0.20866132592955999</v>
      </c>
      <c r="N246" s="84">
        <f>MOD(F251,20/72)</f>
        <v>2.9467314361333541E-2</v>
      </c>
      <c r="O246" s="4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3.5" customHeight="1" thickBot="1">
      <c r="A247" s="457"/>
      <c r="B247" s="458"/>
      <c r="C247" s="457"/>
      <c r="D247" s="5"/>
      <c r="E247" s="17"/>
      <c r="F247" s="17"/>
      <c r="G247" s="17"/>
      <c r="H247" s="5"/>
      <c r="I247" s="308" t="s">
        <v>34</v>
      </c>
      <c r="J247" s="319">
        <f>M243+G245+J242</f>
        <v>135.78794229931609</v>
      </c>
      <c r="M247" s="84">
        <f>M246/(20/72)</f>
        <v>0.75118077334641598</v>
      </c>
      <c r="N247" s="84">
        <f>N246/(20/72)</f>
        <v>0.10608233170080074</v>
      </c>
      <c r="O247" s="4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3.5" customHeight="1" thickBot="1">
      <c r="A248" s="453" t="s">
        <v>49</v>
      </c>
      <c r="B248" s="454">
        <v>-1</v>
      </c>
      <c r="C248" s="459">
        <v>0.56000000000000005</v>
      </c>
      <c r="M248" s="84">
        <f>IF(M247&lt;0.288,ROUNDDOWN(M247,0),ROUNDUP(M247,0))</f>
        <v>1</v>
      </c>
      <c r="N248" s="84">
        <f>IF(N247&lt;0.288,ROUNDDOWN(N247,0),ROUNDUP(N247,0))</f>
        <v>0</v>
      </c>
      <c r="O248" s="4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2.75" customHeight="1" thickBot="1">
      <c r="A249" s="453" t="s">
        <v>49</v>
      </c>
      <c r="B249" s="454">
        <v>-20</v>
      </c>
      <c r="C249" s="460">
        <f>MEDIAN(C248,C250)</f>
        <v>0.55000000000000004</v>
      </c>
      <c r="E249" s="46" t="s">
        <v>46</v>
      </c>
      <c r="F249" s="46" t="s">
        <v>3</v>
      </c>
      <c r="G249" s="46" t="s">
        <v>13</v>
      </c>
      <c r="H249" s="55" t="s">
        <v>47</v>
      </c>
      <c r="J249" s="44" t="s">
        <v>48</v>
      </c>
      <c r="K249" s="44" t="s">
        <v>50</v>
      </c>
      <c r="L249" s="44" t="s">
        <v>51</v>
      </c>
      <c r="M249" s="333"/>
      <c r="N249" s="333"/>
      <c r="O249" s="334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2.75" customHeight="1" thickBot="1">
      <c r="A250" s="450" t="s">
        <v>49</v>
      </c>
      <c r="B250" s="451">
        <v>-40</v>
      </c>
      <c r="C250" s="461">
        <v>0.54</v>
      </c>
      <c r="D250" s="45" t="s">
        <v>43</v>
      </c>
      <c r="E250" s="45" t="e">
        <f>IF(M248=0,INDEX(CB!D5:D113,(ROUNDDOWN(((F250-70)/(20/72)+1),0)),1),INDEX(CB!D5:D113,(ROUNDUP(((F250-70)/(20/72))+1,0)),1))</f>
        <v>#VALUE!</v>
      </c>
      <c r="F250" s="48">
        <f>IF(J246&lt;=C238,80+(J246-D238)/((C238-D238)/10),90+(J246-C238)/((B238-C238)/10))</f>
        <v>57.98643910370734</v>
      </c>
      <c r="G250" s="48">
        <f>G240+M242</f>
        <v>1.914510779771069</v>
      </c>
      <c r="H250" s="45">
        <f>N250</f>
        <v>30</v>
      </c>
      <c r="I250" s="53" t="s">
        <v>21</v>
      </c>
      <c r="J250" s="45">
        <v>4.2</v>
      </c>
      <c r="K250" s="45">
        <v>1.0122</v>
      </c>
      <c r="L250" s="463">
        <f>C245</f>
        <v>0.64</v>
      </c>
      <c r="M250" s="86" t="s">
        <v>4</v>
      </c>
      <c r="N250" s="86">
        <f>IF(M246&lt;0.08,30,N251)</f>
        <v>30</v>
      </c>
      <c r="O250" s="56">
        <f>IF(N246&lt;0.08,30,O251)</f>
        <v>30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2.75" customHeight="1" thickBot="1">
      <c r="A251" s="450" t="s">
        <v>410</v>
      </c>
      <c r="B251" s="451">
        <f>Calculadora!$B$2</f>
        <v>0.86</v>
      </c>
      <c r="C251" s="455">
        <f>C248*(B251-B249)*(B251-B250)/((B248-B249)*(B248-B250))+C249*(B251-B248)*(B251-B250)/((B249-B248)*(B249-B250))+C250*(B251-B248)*(B251-B249)/((B250-B248)*(B250-B249))</f>
        <v>0.56100512793522272</v>
      </c>
      <c r="D251" s="47" t="s">
        <v>44</v>
      </c>
      <c r="E251" s="47" t="e">
        <f>IF(N248=0,INDEX(CB!D5:D113,(ROUNDDOWN(((F251-70)/(20/72)+1),0)),1),INDEX(CB!D5:D113,(ROUNDUP(((F251-70)/(20/72))+1,0)),1))</f>
        <v>#VALUE!</v>
      </c>
      <c r="F251" s="49">
        <f>IF(J247&lt;=C238,80+(J247-D238)/((C238-D238)/10),90+(J247-C238)/((B238-C238)/10))</f>
        <v>58.362800647694669</v>
      </c>
      <c r="G251" s="49">
        <f>G241+M242</f>
        <v>1.9340917872441388</v>
      </c>
      <c r="H251" s="47">
        <f>O250</f>
        <v>30</v>
      </c>
      <c r="I251" s="70" t="s">
        <v>49</v>
      </c>
      <c r="J251" s="49">
        <f>Calculadora!B1/J252</f>
        <v>1.3323991041484688</v>
      </c>
      <c r="K251" s="47">
        <v>1.0125999999999999</v>
      </c>
      <c r="L251" s="464">
        <f>C251</f>
        <v>0.56100512793522272</v>
      </c>
      <c r="M251" s="333"/>
      <c r="N251" s="86">
        <f>IF(M246&gt;(20/72)-0.08,30,29)</f>
        <v>30</v>
      </c>
      <c r="O251" s="56">
        <f>IF(N246&gt;(20/72)-0.08,30,29)</f>
        <v>29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2.75" customHeight="1">
      <c r="A252" s="5"/>
      <c r="B252" s="5"/>
      <c r="C252" s="5"/>
      <c r="J252" s="71">
        <f>115*POWER(0.999,(B238-Calculadora!B1))</f>
        <v>98.731678511652191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2.75" customHeight="1" thickBo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2.75" customHeight="1" thickBot="1">
      <c r="A255" s="462" t="s">
        <v>411</v>
      </c>
      <c r="B255" s="346">
        <v>1</v>
      </c>
      <c r="C255" s="291">
        <v>0.9</v>
      </c>
      <c r="D255" s="35">
        <v>0.8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2.75" customHeight="1" thickBot="1">
      <c r="A256" s="11" t="s">
        <v>8</v>
      </c>
      <c r="B256" s="298">
        <v>247.6</v>
      </c>
      <c r="C256" s="339">
        <v>218.5</v>
      </c>
      <c r="D256" s="13">
        <v>189.7</v>
      </c>
      <c r="F256" s="8" t="s">
        <v>18</v>
      </c>
      <c r="G256" s="9"/>
      <c r="H256" s="5"/>
      <c r="I256" s="8" t="s">
        <v>1</v>
      </c>
      <c r="J256" s="10"/>
      <c r="K256" s="5"/>
      <c r="L256" s="52" t="s">
        <v>18</v>
      </c>
      <c r="M256" s="50">
        <f>B257*(M262-C256)*(M262-D256)/((B256-C256)*(B256-D256))+C257*(M262-B256)*(M262-D256)/((C256-B256)*(C256-D256))+D257*(M262-B256)*(M262-C256)/((D256-B256)*(D256-C256))</f>
        <v>0.85007730536810655</v>
      </c>
      <c r="N256" s="5"/>
      <c r="O256" s="5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3.5" customHeight="1" thickBot="1">
      <c r="A257" s="296" t="s">
        <v>18</v>
      </c>
      <c r="B257" s="331">
        <v>1.32</v>
      </c>
      <c r="C257" s="313">
        <v>0.95</v>
      </c>
      <c r="D257" s="313">
        <v>0.75</v>
      </c>
      <c r="F257" s="298" t="s">
        <v>20</v>
      </c>
      <c r="G257" s="14">
        <f>M256*$AO$2*Calculadora!$B$3</f>
        <v>3.2338862424998513</v>
      </c>
      <c r="H257" s="5"/>
      <c r="I257" s="317"/>
      <c r="J257" s="318"/>
      <c r="K257" s="17"/>
      <c r="L257" s="50" t="s">
        <v>21</v>
      </c>
      <c r="M257" s="51">
        <f>L269*POWER(K269,(B256-M262))</f>
        <v>3.4883625254555515</v>
      </c>
      <c r="N257" s="5"/>
      <c r="O257" s="5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2.75" customHeight="1" thickBot="1">
      <c r="A258" s="1"/>
      <c r="F258" s="52" t="s">
        <v>22</v>
      </c>
      <c r="G258" s="328">
        <f>IF(G264&gt;0,G257*M259,G257*M260)</f>
        <v>3.2231066512568143</v>
      </c>
      <c r="H258" s="5"/>
      <c r="I258" s="52" t="s">
        <v>23</v>
      </c>
      <c r="J258" s="313">
        <f>M256*Calculadora!$B$3*$AO$1</f>
        <v>1.0507533355648266</v>
      </c>
      <c r="K258" s="17"/>
      <c r="L258" s="50" t="s">
        <v>24</v>
      </c>
      <c r="M258" s="51">
        <f>L270*POWER(K270,(B256-M262))</f>
        <v>3.879627452983875</v>
      </c>
      <c r="N258" s="5"/>
      <c r="O258" s="5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2.75" customHeight="1" thickBot="1">
      <c r="E259" s="5"/>
      <c r="F259" s="303" t="s">
        <v>25</v>
      </c>
      <c r="G259" s="304">
        <f>G258*J262</f>
        <v>3.2020490561950905</v>
      </c>
      <c r="H259" s="5"/>
      <c r="I259" s="329"/>
      <c r="J259" s="330"/>
      <c r="K259" s="17"/>
      <c r="L259" s="50" t="s">
        <v>26</v>
      </c>
      <c r="M259" s="51">
        <f>IF((M262&gt;0),((100+(G264/-J269))/100))</f>
        <v>0.99666667580900925</v>
      </c>
      <c r="N259" s="5"/>
      <c r="O259" s="5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2.75" customHeight="1" thickBot="1">
      <c r="A260" s="1"/>
      <c r="B260" s="1"/>
      <c r="C260" s="1"/>
      <c r="E260" s="5"/>
      <c r="F260" s="24" t="s">
        <v>27</v>
      </c>
      <c r="G260" s="342">
        <f>G258/J263</f>
        <v>3.2495271891921829</v>
      </c>
      <c r="H260" s="5"/>
      <c r="I260" s="311" t="s">
        <v>28</v>
      </c>
      <c r="J260" s="312">
        <f>$AT$1*Calculadora!$B$3*M256*0.95*(1-(G264*0.016))</f>
        <v>0.95030144809965411</v>
      </c>
      <c r="K260" s="17"/>
      <c r="L260" s="50" t="s">
        <v>29</v>
      </c>
      <c r="M260" s="51">
        <f>IF((M262&gt;0),((100+(G264/-J270))/100))</f>
        <v>0.98636367376412837</v>
      </c>
      <c r="N260" s="5"/>
      <c r="O260" s="5"/>
    </row>
    <row r="261" spans="1:27" ht="12.75" customHeight="1" thickBot="1">
      <c r="A261" s="449" t="s">
        <v>21</v>
      </c>
      <c r="B261" s="450">
        <v>1</v>
      </c>
      <c r="C261" s="451">
        <v>0.8</v>
      </c>
      <c r="E261" s="5"/>
      <c r="F261" s="5"/>
      <c r="G261" s="5"/>
      <c r="H261" s="5"/>
      <c r="I261" s="311" t="s">
        <v>30</v>
      </c>
      <c r="J261" s="312">
        <f>$AT$1*Calculadora!$B$3*M256*1.27*(1-(G264*0.016))</f>
        <v>1.2704029885121693</v>
      </c>
      <c r="K261" s="17"/>
      <c r="L261" s="52" t="s">
        <v>52</v>
      </c>
      <c r="M261" s="52">
        <f>M256/4*Calculadora!$B$5</f>
        <v>0</v>
      </c>
      <c r="N261" s="5"/>
      <c r="O261" s="5"/>
    </row>
    <row r="262" spans="1:27" ht="12.75" customHeight="1" thickBot="1">
      <c r="A262" s="452" t="s">
        <v>21</v>
      </c>
      <c r="B262" s="453">
        <v>20</v>
      </c>
      <c r="C262" s="454">
        <f>C261</f>
        <v>0.8</v>
      </c>
      <c r="D262" s="5"/>
      <c r="E262" s="5"/>
      <c r="F262" s="8" t="s">
        <v>0</v>
      </c>
      <c r="G262" s="5"/>
      <c r="H262" s="5"/>
      <c r="I262" s="329" t="s">
        <v>31</v>
      </c>
      <c r="J262" s="52">
        <f>(100+(J260*2.75/-4))/100</f>
        <v>0.99346667754431495</v>
      </c>
      <c r="K262" s="17"/>
      <c r="L262" s="52" t="s">
        <v>53</v>
      </c>
      <c r="M262" s="52">
        <f>CC!$S$12</f>
        <v>131.55000000000001</v>
      </c>
    </row>
    <row r="263" spans="1:27" ht="12.75" customHeight="1" thickBot="1">
      <c r="A263" s="449" t="s">
        <v>21</v>
      </c>
      <c r="B263" s="450">
        <v>40</v>
      </c>
      <c r="C263" s="451">
        <f>C261</f>
        <v>0.8</v>
      </c>
      <c r="D263" s="5"/>
      <c r="E263" s="5"/>
      <c r="F263" s="317"/>
      <c r="G263" s="322"/>
      <c r="H263" s="5"/>
      <c r="I263" s="310" t="s">
        <v>32</v>
      </c>
      <c r="J263" s="28">
        <f>(100+(J261*4/-6.25))/100</f>
        <v>0.99186942087352203</v>
      </c>
      <c r="K263" s="17"/>
    </row>
    <row r="264" spans="1:27" ht="12.75" customHeight="1" thickBot="1">
      <c r="A264" s="449" t="s">
        <v>409</v>
      </c>
      <c r="B264" s="450">
        <f>Calculadora!$B$2</f>
        <v>0.86</v>
      </c>
      <c r="C264" s="455">
        <f>C261*(B264-B262)*(B264-B263)/((B261-B262)*(B261-B263))+C262*(B264-B261)*(B264-B263)/((B262-B261)*(B262-B263))+C263*(B264-B261)*(B264-B262)/((B263-B261)*(B263-B262))</f>
        <v>0.8</v>
      </c>
      <c r="D264" s="5"/>
      <c r="E264" s="5"/>
      <c r="F264" s="303" t="s">
        <v>7</v>
      </c>
      <c r="G264" s="323">
        <f>IF(Calculadora!$B$2&gt;0,Calculadora!$B$2*M257,Calculadora!$B$2*M258)</f>
        <v>2.9999917718917741</v>
      </c>
      <c r="H264" s="5"/>
      <c r="I264" s="17"/>
      <c r="J264" s="17"/>
      <c r="M264" s="83" t="s">
        <v>9</v>
      </c>
      <c r="N264" s="335"/>
      <c r="O264" s="40"/>
    </row>
    <row r="265" spans="1:27" ht="12.75" customHeight="1" thickBot="1">
      <c r="A265" s="919"/>
      <c r="B265" s="919"/>
      <c r="C265" s="456"/>
      <c r="D265" s="5"/>
      <c r="E265" s="5"/>
      <c r="F265" s="321"/>
      <c r="G265" s="30"/>
      <c r="H265" s="5"/>
      <c r="I265" s="320" t="s">
        <v>33</v>
      </c>
      <c r="J265" s="32">
        <f>M262+G264-J260</f>
        <v>133.59969032379215</v>
      </c>
      <c r="K265">
        <f>M262+G264</f>
        <v>134.5499917718918</v>
      </c>
      <c r="M265" s="84">
        <f>MOD(F269,20/72)</f>
        <v>0.22626211880992475</v>
      </c>
      <c r="N265" s="84">
        <f>MOD(F270,20/72)</f>
        <v>0.18306020726757988</v>
      </c>
      <c r="O265" s="41"/>
    </row>
    <row r="266" spans="1:27" ht="12.75" customHeight="1" thickBot="1">
      <c r="A266" s="457"/>
      <c r="B266" s="458"/>
      <c r="C266" s="457"/>
      <c r="D266" s="5"/>
      <c r="E266" s="5"/>
      <c r="F266" s="17"/>
      <c r="G266" s="17"/>
      <c r="H266" s="5"/>
      <c r="I266" s="308" t="s">
        <v>34</v>
      </c>
      <c r="J266" s="319">
        <f>M262+G264+J261</f>
        <v>135.82039476040396</v>
      </c>
      <c r="M266" s="84">
        <f>M265/(20/72)</f>
        <v>0.81454362771572908</v>
      </c>
      <c r="N266" s="84">
        <f>N265/(20/72)</f>
        <v>0.65901674616328754</v>
      </c>
      <c r="O266" s="41"/>
    </row>
    <row r="267" spans="1:27" ht="12.75" customHeight="1" thickBot="1">
      <c r="A267" s="453" t="s">
        <v>49</v>
      </c>
      <c r="B267" s="454">
        <v>-1</v>
      </c>
      <c r="C267" s="459">
        <v>0.65</v>
      </c>
      <c r="D267" s="5"/>
      <c r="E267" s="17"/>
      <c r="F267" s="17"/>
      <c r="G267" s="17"/>
      <c r="H267" s="5"/>
      <c r="I267" s="5"/>
      <c r="J267" s="5"/>
      <c r="M267" s="84">
        <f>IF(M266&lt;0.288,ROUNDDOWN(M266,0),ROUNDUP(M266,0))</f>
        <v>1</v>
      </c>
      <c r="N267" s="84">
        <f>IF(N266&lt;0.288,ROUNDDOWN(N266,0),ROUNDUP(N266,0))</f>
        <v>1</v>
      </c>
      <c r="O267" s="41"/>
    </row>
    <row r="268" spans="1:27" ht="12.75" customHeight="1" thickBot="1">
      <c r="A268" s="453" t="s">
        <v>49</v>
      </c>
      <c r="B268" s="454">
        <v>-20</v>
      </c>
      <c r="C268" s="460">
        <f>MEDIAN(C267,C269)</f>
        <v>0.64</v>
      </c>
      <c r="E268" s="46" t="s">
        <v>46</v>
      </c>
      <c r="F268" s="48"/>
      <c r="G268" s="46" t="s">
        <v>13</v>
      </c>
      <c r="H268" s="55" t="s">
        <v>47</v>
      </c>
      <c r="J268" s="44" t="s">
        <v>48</v>
      </c>
      <c r="K268" s="44" t="s">
        <v>50</v>
      </c>
      <c r="L268" s="44" t="s">
        <v>51</v>
      </c>
      <c r="M268" s="333"/>
      <c r="N268" s="333"/>
      <c r="O268" s="334"/>
    </row>
    <row r="269" spans="1:27" ht="12.75" customHeight="1" thickBot="1">
      <c r="A269" s="450" t="s">
        <v>49</v>
      </c>
      <c r="B269" s="451">
        <v>-40</v>
      </c>
      <c r="C269" s="461">
        <v>0.63</v>
      </c>
      <c r="D269" s="45" t="s">
        <v>43</v>
      </c>
      <c r="E269" s="171" t="e">
        <f>IF(M267=0,INDEX(CB!E5:E113,(ROUNDDOWN(((F269-70)/(20/72)+1),0)),1),INDEX(CB!E5:E113,(ROUNDUP(((F269-70)/(20/72))+1,0)),1))</f>
        <v>#VALUE!</v>
      </c>
      <c r="F269" s="48">
        <f>100*(J265-C256)*(J265-D256)/((B256-C256)*(B256-D256))+90*(J265-B256)*(J265-D256)/((C256-B256)*(C256-D256))+80*(J265-B256)*(J265-C256)/((D256-B256)*(D256-C256))</f>
        <v>60.226262118809927</v>
      </c>
      <c r="G269" s="48">
        <f>G259+M261</f>
        <v>3.2020490561950905</v>
      </c>
      <c r="H269" s="45">
        <f>N269</f>
        <v>9</v>
      </c>
      <c r="I269" s="53" t="s">
        <v>21</v>
      </c>
      <c r="J269" s="45">
        <v>9</v>
      </c>
      <c r="K269" s="45">
        <v>1.0127699999999999</v>
      </c>
      <c r="L269" s="463">
        <f>C264</f>
        <v>0.8</v>
      </c>
      <c r="M269" s="52" t="s">
        <v>4</v>
      </c>
      <c r="N269" s="52">
        <f>IF(M265&lt;0.08,9,N270)</f>
        <v>9</v>
      </c>
      <c r="O269" s="313">
        <f>IF(N265&lt;0.08,9,O270)</f>
        <v>8</v>
      </c>
    </row>
    <row r="270" spans="1:27" ht="12.75" customHeight="1" thickBot="1">
      <c r="A270" s="450" t="s">
        <v>410</v>
      </c>
      <c r="B270" s="451">
        <f>Calculadora!$B$2</f>
        <v>0.86</v>
      </c>
      <c r="C270" s="455">
        <f>C267*(B270-B268)*(B270-B269)/((B267-B268)*(B267-B269))+C268*(B270-B267)*(B270-B269)/((B268-B267)*(B268-B269))+C269*(B270-B267)*(B270-B268)/((B269-B267)*(B269-B268))</f>
        <v>0.65100512793522258</v>
      </c>
      <c r="D270" s="47" t="s">
        <v>44</v>
      </c>
      <c r="E270" s="172" t="e">
        <f>IF(N267=0,INDEX(CB!E5:E113,(ROUNDDOWN(((F270-70)/(20/72)+1),0)),1),INDEX(CB!E5:E113,(ROUNDUP(((F270-70)/(20/72))+1,0)),1))</f>
        <v>#VALUE!</v>
      </c>
      <c r="F270" s="49">
        <f>100*(J266-C256)*(J266-D256)/((B256-C256)*(B256-D256))+90*(J266-B256)*(J266-D256)/((C256-B256)*(C256-D256))+80*(J266-B256)*(J266-C256)/((D256-B256)*(D256-C256))</f>
        <v>61.016393540600916</v>
      </c>
      <c r="G270" s="49">
        <f>G260+M261</f>
        <v>3.2495271891921829</v>
      </c>
      <c r="H270" s="47">
        <f>O269</f>
        <v>8</v>
      </c>
      <c r="I270" s="70" t="s">
        <v>49</v>
      </c>
      <c r="J270" s="47">
        <v>2.2000000000000002</v>
      </c>
      <c r="K270" s="47">
        <v>1.0155000000000001</v>
      </c>
      <c r="L270" s="464">
        <f>C270</f>
        <v>0.65100512793522258</v>
      </c>
      <c r="M270" s="333"/>
      <c r="N270" s="86">
        <f>IF(M265&gt;(20/72)-0.08,9,8)</f>
        <v>9</v>
      </c>
      <c r="O270" s="56">
        <f>IF(N265&gt;(20/72)-0.08,9,8)</f>
        <v>8</v>
      </c>
    </row>
    <row r="271" spans="1:27" ht="12.75" customHeight="1">
      <c r="A271" s="5"/>
      <c r="B271" s="5"/>
      <c r="C271" s="5"/>
    </row>
    <row r="272" spans="1:27" ht="12.75" customHeight="1">
      <c r="A272" s="193"/>
      <c r="B272" s="194"/>
      <c r="C272" s="194"/>
      <c r="D272" s="193"/>
      <c r="E272" s="173"/>
      <c r="F272" s="193"/>
      <c r="G272" s="194"/>
      <c r="H272" s="194"/>
      <c r="I272" s="193"/>
      <c r="J272" s="195"/>
      <c r="K272" s="193"/>
      <c r="L272" s="194"/>
      <c r="M272" s="194"/>
      <c r="N272" s="193"/>
      <c r="O272" s="195"/>
    </row>
    <row r="273" spans="1:15" ht="12.75" customHeight="1">
      <c r="A273" s="193"/>
      <c r="B273" s="193"/>
      <c r="C273" s="193"/>
      <c r="D273" s="193"/>
      <c r="E273" s="173"/>
      <c r="F273" s="193"/>
      <c r="G273" s="193"/>
      <c r="H273" s="193"/>
      <c r="I273" s="193"/>
      <c r="J273" s="195"/>
      <c r="K273" s="193"/>
      <c r="L273" s="193"/>
      <c r="M273" s="193"/>
      <c r="N273" s="193"/>
      <c r="O273" s="195"/>
    </row>
    <row r="274" spans="1:15" ht="12.75" customHeight="1">
      <c r="A274" s="193"/>
      <c r="B274" s="193"/>
      <c r="C274" s="193"/>
      <c r="D274" s="193"/>
      <c r="E274" s="173"/>
      <c r="F274" s="193"/>
      <c r="G274" s="193"/>
      <c r="H274" s="193"/>
      <c r="I274" s="193"/>
      <c r="J274" s="173"/>
      <c r="K274" s="193"/>
      <c r="L274" s="193"/>
      <c r="M274" s="193"/>
      <c r="N274" s="193"/>
      <c r="O274" s="195"/>
    </row>
    <row r="275" spans="1:15" ht="12.75" customHeight="1">
      <c r="A275" s="173"/>
      <c r="B275" s="173"/>
      <c r="C275" s="173"/>
      <c r="D275" s="173"/>
      <c r="E275" s="173"/>
      <c r="F275" s="173"/>
      <c r="G275" s="173"/>
      <c r="H275" s="173"/>
      <c r="I275" s="173"/>
      <c r="J275" s="173"/>
      <c r="K275" s="173"/>
      <c r="L275" s="173"/>
      <c r="M275" s="173"/>
      <c r="N275" s="173"/>
      <c r="O275" s="173"/>
    </row>
    <row r="276" spans="1:15" ht="12.75" customHeight="1">
      <c r="A276" s="173"/>
      <c r="B276" s="173"/>
      <c r="C276" s="173"/>
      <c r="D276" s="173"/>
      <c r="E276" s="173"/>
      <c r="F276" s="173"/>
      <c r="G276" s="173"/>
      <c r="H276" s="173"/>
      <c r="I276" s="173"/>
      <c r="J276" s="173"/>
      <c r="K276" s="173"/>
      <c r="L276" s="173"/>
      <c r="M276" s="173"/>
      <c r="N276" s="173"/>
      <c r="O276" s="173"/>
    </row>
    <row r="277" spans="1:15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spans="1:15" ht="12.75" customHeight="1">
      <c r="A278" s="173"/>
      <c r="B278" s="173"/>
      <c r="C278" s="173"/>
      <c r="D278" s="173"/>
      <c r="E278" s="173"/>
      <c r="F278" s="173"/>
      <c r="G278" s="173"/>
      <c r="H278" s="173"/>
      <c r="I278" s="173"/>
      <c r="J278" s="173"/>
      <c r="K278" s="173"/>
      <c r="L278" s="173"/>
      <c r="M278" s="173"/>
      <c r="N278" s="173"/>
      <c r="O278" s="173"/>
    </row>
    <row r="279" spans="1:15" ht="12.75" customHeight="1">
      <c r="A279" s="921"/>
      <c r="B279" s="921"/>
      <c r="C279" s="921"/>
      <c r="D279" s="921"/>
      <c r="E279" s="173"/>
      <c r="F279" s="921"/>
      <c r="G279" s="921"/>
      <c r="H279" s="921"/>
      <c r="I279" s="921"/>
      <c r="J279" s="173"/>
      <c r="K279" s="173"/>
      <c r="L279" s="173"/>
      <c r="M279" s="173"/>
      <c r="N279" s="173"/>
      <c r="O279" s="173"/>
    </row>
    <row r="280" spans="1:15" ht="12.75" customHeight="1">
      <c r="A280" s="193"/>
      <c r="B280" s="193"/>
      <c r="C280" s="193"/>
      <c r="D280" s="193"/>
      <c r="E280" s="173"/>
      <c r="F280" s="193"/>
      <c r="G280" s="193"/>
      <c r="H280" s="193"/>
      <c r="I280" s="193"/>
      <c r="J280" s="173"/>
      <c r="K280" s="173"/>
      <c r="L280" s="173"/>
      <c r="M280" s="173"/>
      <c r="N280" s="173"/>
      <c r="O280" s="173"/>
    </row>
    <row r="281" spans="1:15" ht="12.75" customHeight="1">
      <c r="A281" s="193"/>
      <c r="B281" s="194"/>
      <c r="C281" s="194"/>
      <c r="D281" s="193"/>
      <c r="E281" s="173"/>
      <c r="F281" s="193"/>
      <c r="G281" s="194"/>
      <c r="H281" s="194"/>
      <c r="I281" s="193"/>
      <c r="J281" s="173"/>
      <c r="K281" s="173"/>
      <c r="L281" s="173"/>
      <c r="M281" s="173"/>
      <c r="N281" s="173"/>
      <c r="O281" s="189"/>
    </row>
    <row r="282" spans="1:15" ht="12.75" customHeight="1">
      <c r="A282" s="920"/>
      <c r="B282" s="920"/>
      <c r="C282" s="920"/>
      <c r="D282" s="920"/>
      <c r="E282" s="173"/>
      <c r="F282" s="920"/>
      <c r="G282" s="920"/>
      <c r="H282" s="920"/>
      <c r="I282" s="920"/>
      <c r="J282" s="173"/>
      <c r="K282" s="173"/>
      <c r="L282" s="173"/>
      <c r="M282" s="173"/>
      <c r="N282" s="173"/>
      <c r="O282" s="190"/>
    </row>
    <row r="283" spans="1:15" ht="12.75" customHeight="1">
      <c r="A283" s="193"/>
      <c r="B283" s="193"/>
      <c r="C283" s="193"/>
      <c r="D283" s="193"/>
      <c r="E283" s="173"/>
      <c r="F283" s="193"/>
      <c r="G283" s="193"/>
      <c r="H283" s="193"/>
      <c r="I283" s="193"/>
      <c r="J283" s="173"/>
      <c r="K283" s="173"/>
      <c r="L283" s="173"/>
      <c r="M283" s="173"/>
      <c r="N283" s="173"/>
      <c r="O283" s="189"/>
    </row>
    <row r="284" spans="1:15" ht="12.75" customHeight="1">
      <c r="A284" s="193"/>
      <c r="B284" s="194"/>
      <c r="C284" s="194"/>
      <c r="D284" s="193"/>
      <c r="E284" s="173"/>
      <c r="F284" s="193"/>
      <c r="G284" s="194"/>
      <c r="H284" s="194"/>
      <c r="I284" s="193"/>
      <c r="J284" s="173"/>
      <c r="K284" s="173"/>
      <c r="L284" s="173"/>
      <c r="M284" s="173"/>
      <c r="N284" s="173"/>
      <c r="O284" s="189"/>
    </row>
    <row r="285" spans="1:15" ht="12.75" customHeight="1">
      <c r="A285" s="193"/>
      <c r="B285" s="194"/>
      <c r="C285" s="194"/>
      <c r="D285" s="193"/>
      <c r="E285" s="173"/>
      <c r="F285" s="193"/>
      <c r="G285" s="194"/>
      <c r="H285" s="194"/>
      <c r="I285" s="193"/>
      <c r="J285" s="173"/>
      <c r="K285" s="173"/>
      <c r="L285" s="173"/>
      <c r="M285" s="173"/>
      <c r="N285" s="173"/>
      <c r="O285" s="189"/>
    </row>
    <row r="286" spans="1:15" ht="12.75" customHeight="1">
      <c r="A286" s="193"/>
      <c r="B286" s="193"/>
      <c r="C286" s="193"/>
      <c r="D286" s="193"/>
      <c r="E286" s="173"/>
      <c r="F286" s="193"/>
      <c r="G286" s="193"/>
      <c r="H286" s="193"/>
      <c r="I286" s="193"/>
      <c r="J286" s="173"/>
      <c r="K286" s="173"/>
      <c r="L286" s="173"/>
      <c r="M286" s="173"/>
      <c r="N286" s="173"/>
      <c r="O286" s="189"/>
    </row>
    <row r="287" spans="1:15" ht="12.75" customHeight="1">
      <c r="A287" s="193"/>
      <c r="B287" s="193"/>
      <c r="C287" s="193"/>
      <c r="D287" s="193"/>
      <c r="E287" s="173"/>
      <c r="F287" s="193"/>
      <c r="G287" s="193"/>
      <c r="H287" s="193"/>
      <c r="I287" s="193"/>
      <c r="J287" s="173"/>
      <c r="K287" s="173"/>
      <c r="L287" s="173"/>
      <c r="M287" s="173"/>
      <c r="N287" s="173"/>
      <c r="O287" s="189"/>
    </row>
    <row r="288" spans="1:15" ht="12.75" customHeight="1">
      <c r="A288" s="193"/>
      <c r="B288" s="194"/>
      <c r="C288" s="194"/>
      <c r="D288" s="193"/>
      <c r="E288" s="173"/>
      <c r="F288" s="193"/>
      <c r="G288" s="194"/>
      <c r="H288" s="194"/>
      <c r="I288" s="193"/>
      <c r="J288" s="173"/>
      <c r="K288" s="173"/>
      <c r="L288" s="173"/>
      <c r="M288" s="173"/>
      <c r="N288" s="173"/>
      <c r="O288" s="189"/>
    </row>
    <row r="289" spans="1:15" ht="12.75" customHeight="1">
      <c r="A289" s="193"/>
      <c r="B289" s="194"/>
      <c r="C289" s="194"/>
      <c r="D289" s="193"/>
      <c r="E289" s="173"/>
      <c r="F289" s="193"/>
      <c r="G289" s="194"/>
      <c r="H289" s="194"/>
      <c r="I289" s="193"/>
      <c r="J289" s="173"/>
      <c r="K289" s="173"/>
      <c r="L289" s="173"/>
      <c r="M289" s="173"/>
      <c r="N289" s="173"/>
      <c r="O289" s="189"/>
    </row>
    <row r="290" spans="1:15" ht="12.75" customHeight="1">
      <c r="A290" s="193"/>
      <c r="B290" s="193"/>
      <c r="C290" s="193"/>
      <c r="D290" s="193"/>
      <c r="E290" s="173"/>
      <c r="F290" s="193"/>
      <c r="G290" s="193"/>
      <c r="H290" s="193"/>
      <c r="I290" s="193"/>
      <c r="J290" s="173"/>
      <c r="K290" s="173"/>
      <c r="L290" s="173"/>
      <c r="M290" s="173"/>
      <c r="N290" s="173"/>
      <c r="O290" s="189"/>
    </row>
    <row r="291" spans="1:15" ht="12.75" customHeight="1">
      <c r="A291" s="193"/>
      <c r="B291" s="193"/>
      <c r="C291" s="193"/>
      <c r="D291" s="193"/>
      <c r="E291" s="173"/>
      <c r="F291" s="193"/>
      <c r="G291" s="193"/>
      <c r="H291" s="193"/>
      <c r="I291" s="193"/>
      <c r="J291" s="173"/>
      <c r="K291" s="173"/>
      <c r="L291" s="173"/>
      <c r="M291" s="173"/>
      <c r="N291" s="173"/>
      <c r="O291" s="173"/>
    </row>
    <row r="292" spans="1:15" ht="12.75" customHeight="1">
      <c r="A292" s="173"/>
      <c r="B292" s="173"/>
      <c r="C292" s="173"/>
      <c r="D292" s="173"/>
      <c r="E292" s="173"/>
      <c r="F292" s="173"/>
      <c r="G292" s="173"/>
      <c r="H292" s="173"/>
      <c r="I292" s="173"/>
      <c r="J292" s="173"/>
      <c r="K292" s="173"/>
      <c r="L292" s="173"/>
      <c r="M292" s="173"/>
      <c r="N292" s="173"/>
      <c r="O292" s="173"/>
    </row>
    <row r="293" spans="1:15" ht="12.75" customHeight="1">
      <c r="A293" s="173"/>
      <c r="B293" s="173"/>
      <c r="C293" s="173"/>
      <c r="D293" s="173"/>
      <c r="E293" s="173"/>
      <c r="F293" s="173"/>
      <c r="G293" s="173"/>
      <c r="H293" s="173"/>
      <c r="I293" s="173"/>
      <c r="J293" s="173"/>
      <c r="K293" s="173"/>
      <c r="L293" s="173"/>
      <c r="M293" s="173"/>
      <c r="N293" s="173"/>
      <c r="O293" s="173"/>
    </row>
    <row r="295" spans="1:15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5" ht="12.75" customHeight="1">
      <c r="N296" s="87"/>
    </row>
  </sheetData>
  <mergeCells count="22">
    <mergeCell ref="F282:I282"/>
    <mergeCell ref="F279:I279"/>
    <mergeCell ref="A282:D282"/>
    <mergeCell ref="A279:D279"/>
    <mergeCell ref="A156:B156"/>
    <mergeCell ref="A228:B228"/>
    <mergeCell ref="A246:B246"/>
    <mergeCell ref="A265:B265"/>
    <mergeCell ref="A210:B210"/>
    <mergeCell ref="A120:B120"/>
    <mergeCell ref="A138:B138"/>
    <mergeCell ref="A174:B174"/>
    <mergeCell ref="A192:B192"/>
    <mergeCell ref="P1:Q1"/>
    <mergeCell ref="V21:X21"/>
    <mergeCell ref="R1:S1"/>
    <mergeCell ref="A66:B66"/>
    <mergeCell ref="A84:B84"/>
    <mergeCell ref="A102:B102"/>
    <mergeCell ref="N1:O1"/>
    <mergeCell ref="A11:B11"/>
    <mergeCell ref="A48:B48"/>
  </mergeCells>
  <pageMargins left="0.78749999999999998" right="0.78749999999999998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X48"/>
  <sheetViews>
    <sheetView showGridLines="0" showRowColHeaders="0" zoomScale="90" zoomScaleNormal="90" workbookViewId="0">
      <selection activeCell="I15" sqref="I15"/>
    </sheetView>
  </sheetViews>
  <sheetFormatPr defaultRowHeight="15.75" customHeight="1"/>
  <cols>
    <col min="1" max="16384" width="9.140625" style="513"/>
  </cols>
  <sheetData>
    <row r="1" spans="1:24" ht="15.75" customHeight="1" thickBot="1">
      <c r="A1" s="940" t="s">
        <v>272</v>
      </c>
      <c r="B1" s="941"/>
      <c r="C1" s="941"/>
      <c r="D1" s="941"/>
      <c r="E1" s="941"/>
      <c r="F1" s="941"/>
      <c r="G1" s="941"/>
      <c r="H1" s="941"/>
      <c r="I1" s="941"/>
      <c r="J1" s="941"/>
      <c r="K1" s="942"/>
      <c r="L1" s="520"/>
      <c r="M1" s="934" t="s">
        <v>265</v>
      </c>
      <c r="N1" s="935"/>
      <c r="O1" s="935"/>
      <c r="P1" s="935"/>
      <c r="Q1" s="935"/>
      <c r="R1" s="935"/>
      <c r="S1" s="935"/>
      <c r="T1" s="935"/>
      <c r="U1" s="935"/>
      <c r="V1" s="935"/>
      <c r="W1" s="936"/>
    </row>
    <row r="2" spans="1:24" ht="15.75" customHeight="1" thickBot="1">
      <c r="A2" s="781" t="s">
        <v>283</v>
      </c>
      <c r="B2" s="782" t="s">
        <v>344</v>
      </c>
      <c r="C2" s="782" t="s">
        <v>345</v>
      </c>
      <c r="D2" s="729"/>
      <c r="E2" s="781" t="s">
        <v>284</v>
      </c>
      <c r="F2" s="782" t="s">
        <v>344</v>
      </c>
      <c r="G2" s="782" t="s">
        <v>345</v>
      </c>
      <c r="H2" s="729"/>
      <c r="I2" s="781" t="s">
        <v>286</v>
      </c>
      <c r="J2" s="782" t="s">
        <v>344</v>
      </c>
      <c r="K2" s="783" t="s">
        <v>345</v>
      </c>
      <c r="L2" s="520"/>
      <c r="M2" s="561" t="s">
        <v>313</v>
      </c>
      <c r="N2" s="560" t="s">
        <v>344</v>
      </c>
      <c r="O2" s="794" t="s">
        <v>345</v>
      </c>
      <c r="P2" s="730"/>
      <c r="Q2" s="731"/>
      <c r="R2" s="731"/>
      <c r="S2" s="731"/>
      <c r="T2" s="730"/>
      <c r="U2" s="731"/>
      <c r="V2" s="731"/>
      <c r="W2" s="731"/>
    </row>
    <row r="3" spans="1:24" ht="15.75" customHeight="1" thickBot="1">
      <c r="A3" s="533" t="s">
        <v>13</v>
      </c>
      <c r="B3" s="515">
        <f>'HWI Speciais'!B3*'HWI Speciais'!P1</f>
        <v>7.0073844120626916</v>
      </c>
      <c r="C3" s="515">
        <f>'HWI Speciais'!B3*'HWI Speciais'!P1/0.217</f>
        <v>32.292094064805028</v>
      </c>
      <c r="D3" s="531"/>
      <c r="E3" s="533" t="s">
        <v>13</v>
      </c>
      <c r="F3" s="515">
        <f>G3</f>
        <v>6.9236914386287181</v>
      </c>
      <c r="G3" s="515">
        <f>'HWI Speciais'!B4*'HWI Speciais'!P1</f>
        <v>6.9236914386287181</v>
      </c>
      <c r="H3" s="531"/>
      <c r="I3" s="533" t="s">
        <v>13</v>
      </c>
      <c r="J3" s="515">
        <f>'HWI Speciais'!B5*'HWI Speciais'!P1</f>
        <v>7.0644478030404008</v>
      </c>
      <c r="K3" s="515">
        <f>'HWI Speciais'!B5*'HWI Speciais'!P1</f>
        <v>7.0644478030404008</v>
      </c>
      <c r="L3" s="531"/>
      <c r="M3" s="533" t="s">
        <v>13</v>
      </c>
      <c r="N3" s="515">
        <f>'HWI Speciais'!B31*'HWI Speciais'!P1/0.2165</f>
        <v>17.747197809849517</v>
      </c>
      <c r="O3" s="515">
        <f>'HWI Speciais'!B31*'HWI Speciais'!P1</f>
        <v>3.8422683258324204</v>
      </c>
      <c r="P3" s="733"/>
      <c r="Q3" s="734"/>
      <c r="R3" s="734"/>
      <c r="S3" s="734"/>
      <c r="T3" s="733"/>
      <c r="U3" s="734"/>
      <c r="V3" s="734"/>
      <c r="W3" s="751"/>
    </row>
    <row r="4" spans="1:24" ht="15.75" customHeight="1" thickBot="1">
      <c r="A4" s="533" t="s">
        <v>135</v>
      </c>
      <c r="B4" s="515">
        <f>'HWI Speciais'!C3-('HWI Speciais'!P2*'HWI Speciais'!D3)</f>
        <v>96.810152562377624</v>
      </c>
      <c r="C4" s="515">
        <f>'HWI Speciais'!C3+('HWI Speciais'!P2*'HWI Speciais'!E3)</f>
        <v>98.440526224699852</v>
      </c>
      <c r="D4" s="531"/>
      <c r="E4" s="533" t="s">
        <v>135</v>
      </c>
      <c r="F4" s="515">
        <f>'HWI Speciais'!C4-('HWI Speciais'!P2*'HWI Speciais'!D4)</f>
        <v>97.561145618000168</v>
      </c>
      <c r="G4" s="515">
        <f>'HWI Speciais'!C4+('HWI Speciais'!P2*'HWI Speciais'!E4)</f>
        <v>100.08272429209974</v>
      </c>
      <c r="H4" s="531"/>
      <c r="I4" s="533" t="s">
        <v>135</v>
      </c>
      <c r="J4" s="515">
        <f>'HWI Speciais'!C5-('HWI Speciais'!P2*'HWI Speciais'!D5)</f>
        <v>98.83142425845017</v>
      </c>
      <c r="K4" s="515">
        <f>'HWI Speciais'!C5+('HWI Speciais'!P2*'HWI Speciais'!E5)</f>
        <v>101.08106797749979</v>
      </c>
      <c r="L4" s="531"/>
      <c r="M4" s="533" t="s">
        <v>135</v>
      </c>
      <c r="N4" s="515">
        <f>'HWI Speciais'!C31-('HWI Speciais'!P2*'HWI Speciais'!D31)</f>
        <v>89.223506297775174</v>
      </c>
      <c r="O4" s="515">
        <f>'HWI Speciais'!C31+('HWI Speciais'!P2*'HWI Speciais'!E31)</f>
        <v>91.479330356712282</v>
      </c>
      <c r="P4" s="733"/>
      <c r="Q4" s="733"/>
      <c r="R4" s="733"/>
      <c r="S4" s="733"/>
      <c r="T4" s="733"/>
      <c r="U4" s="733"/>
      <c r="V4" s="733"/>
      <c r="W4" s="739"/>
    </row>
    <row r="5" spans="1:24" ht="15.75" customHeight="1" thickBot="1">
      <c r="A5" s="534" t="s">
        <v>144</v>
      </c>
      <c r="B5" s="516">
        <f>INDEX(CB!C41:C113,(ROUNDUP(((B4-80)/(20/72))+1,0)),1)</f>
        <v>286.95555555555586</v>
      </c>
      <c r="C5" s="516">
        <f>INDEX(CB!C41:C113,(ROUNDUP(((C4-80)/(20/72))+1,0)),1)</f>
        <v>291.88888888888903</v>
      </c>
      <c r="D5" s="737"/>
      <c r="E5" s="534" t="s">
        <v>144</v>
      </c>
      <c r="F5" s="516">
        <f>INDEX(CB!D41:D113,(ROUNDUP(((F4-80)/(20/72))+1,0)),1)</f>
        <v>299.19999999999982</v>
      </c>
      <c r="G5" s="516" t="e">
        <f>INDEX(CB!D41:D113,(ROUNDUP(((G4-80)/(20/72))+1,0)),1)</f>
        <v>#REF!</v>
      </c>
      <c r="H5" s="737"/>
      <c r="I5" s="534" t="s">
        <v>144</v>
      </c>
      <c r="J5" s="516">
        <f>INDEX(CB!D41:D113,(ROUNDUP(((J4-80)/(20/72))+1,0)),1)</f>
        <v>302.59999999999991</v>
      </c>
      <c r="K5" s="516" t="e">
        <f>INDEX(CB!D41:D113,(ROUNDUP(((K4-80)/(20/72))+1,0)),1)</f>
        <v>#REF!</v>
      </c>
      <c r="L5" s="531"/>
      <c r="M5" s="534" t="s">
        <v>144</v>
      </c>
      <c r="N5" s="516">
        <f>INDEX(CB!F41:F113,(ROUNDUP(((N4-80)/(20/72))+1,0)),1)</f>
        <v>246.8666666666669</v>
      </c>
      <c r="O5" s="516">
        <f>INDEX(CB!F41:F113,(ROUNDUP(((O4-80)/(20/72))+1,0)),1)</f>
        <v>253.00000000000034</v>
      </c>
      <c r="P5" s="738"/>
      <c r="Q5" s="734"/>
      <c r="R5" s="734"/>
      <c r="S5" s="734"/>
      <c r="T5" s="733"/>
      <c r="U5" s="739"/>
      <c r="V5" s="739"/>
      <c r="W5" s="739"/>
    </row>
    <row r="6" spans="1:24" ht="15.75" customHeight="1" thickBot="1">
      <c r="A6" s="527"/>
      <c r="B6" s="527"/>
      <c r="C6" s="527"/>
      <c r="D6" s="526"/>
      <c r="E6" s="740"/>
      <c r="F6" s="740"/>
      <c r="G6" s="740"/>
      <c r="H6" s="526"/>
      <c r="I6" s="740"/>
      <c r="J6" s="740"/>
      <c r="K6" s="766"/>
      <c r="L6" s="526"/>
      <c r="M6" s="777"/>
      <c r="N6" s="742"/>
      <c r="O6" s="742"/>
      <c r="P6" s="743"/>
      <c r="Q6" s="744"/>
      <c r="R6" s="744"/>
      <c r="S6" s="744"/>
      <c r="T6" s="743"/>
      <c r="U6" s="743"/>
      <c r="V6" s="743"/>
      <c r="W6" s="774"/>
    </row>
    <row r="7" spans="1:24" ht="15.75" customHeight="1" thickBot="1">
      <c r="A7" s="781" t="s">
        <v>288</v>
      </c>
      <c r="B7" s="782" t="s">
        <v>344</v>
      </c>
      <c r="C7" s="782" t="s">
        <v>345</v>
      </c>
      <c r="D7" s="745"/>
      <c r="E7" s="781" t="s">
        <v>290</v>
      </c>
      <c r="F7" s="782" t="s">
        <v>344</v>
      </c>
      <c r="G7" s="782" t="s">
        <v>345</v>
      </c>
      <c r="H7" s="745"/>
      <c r="I7" s="781" t="s">
        <v>292</v>
      </c>
      <c r="J7" s="782" t="s">
        <v>344</v>
      </c>
      <c r="K7" s="782" t="s">
        <v>345</v>
      </c>
      <c r="L7" s="531"/>
      <c r="M7" s="561" t="s">
        <v>315</v>
      </c>
      <c r="N7" s="560" t="s">
        <v>344</v>
      </c>
      <c r="O7" s="560" t="s">
        <v>345</v>
      </c>
      <c r="P7" s="746"/>
      <c r="Q7" s="561" t="s">
        <v>318</v>
      </c>
      <c r="R7" s="560" t="s">
        <v>344</v>
      </c>
      <c r="S7" s="560" t="s">
        <v>345</v>
      </c>
      <c r="T7" s="746"/>
      <c r="U7" s="561" t="s">
        <v>322</v>
      </c>
      <c r="V7" s="560" t="s">
        <v>344</v>
      </c>
      <c r="W7" s="560" t="s">
        <v>345</v>
      </c>
    </row>
    <row r="8" spans="1:24" ht="15.75" customHeight="1" thickBot="1">
      <c r="A8" s="533" t="s">
        <v>13</v>
      </c>
      <c r="B8" s="515">
        <f>'HWI Speciais'!B6*'HWI Speciais'!P1/0.217</f>
        <v>36.113851125677719</v>
      </c>
      <c r="C8" s="515">
        <f>'HWI Speciais'!B6*'HWI Speciais'!P1</f>
        <v>7.836705694272065</v>
      </c>
      <c r="E8" s="533" t="s">
        <v>13</v>
      </c>
      <c r="F8" s="515">
        <f>'HWI Speciais'!B7*'HWI Speciais'!P1</f>
        <v>7.9774620586837477</v>
      </c>
      <c r="G8" s="515">
        <f>'HWI Speciais'!B7*'HWI Speciais'!P1</f>
        <v>7.9774620586837477</v>
      </c>
      <c r="H8" s="531"/>
      <c r="I8" s="533" t="s">
        <v>13</v>
      </c>
      <c r="J8" s="515">
        <f>'HWI Speciais'!B8*'HWI Speciais'!P1</f>
        <v>8.0383296757266383</v>
      </c>
      <c r="K8" s="515">
        <f>'HWI Speciais'!B8*'HWI Speciais'!P1</f>
        <v>8.0383296757266383</v>
      </c>
      <c r="L8" s="531"/>
      <c r="M8" s="533" t="s">
        <v>13</v>
      </c>
      <c r="N8" s="515">
        <f>'HWI Speciais'!B32*'HWI Speciais'!P1</f>
        <v>4.8047375203231155</v>
      </c>
      <c r="O8" s="515">
        <f>'HWI Speciais'!B32*'HWI Speciais'!P1</f>
        <v>4.8047375203231155</v>
      </c>
      <c r="P8" s="734"/>
      <c r="Q8" s="533" t="s">
        <v>13</v>
      </c>
      <c r="R8" s="515">
        <f>'HWI Speciais'!B33*'HWI Speciais'!P1</f>
        <v>4.7495762423779961</v>
      </c>
      <c r="S8" s="515">
        <f>'HWI Speciais'!B33*'HWI Speciais'!P1</f>
        <v>4.7495762423779961</v>
      </c>
      <c r="T8" s="734"/>
      <c r="U8" s="533" t="s">
        <v>13</v>
      </c>
      <c r="V8" s="515">
        <f>'HWI Speciais'!B34*'HWI Speciais'!P1</f>
        <v>4.8237586506490189</v>
      </c>
      <c r="W8" s="515">
        <f>'HWI Speciais'!B34*'HWI Speciais'!P1</f>
        <v>4.8237586506490189</v>
      </c>
    </row>
    <row r="9" spans="1:24" ht="15.75" customHeight="1" thickBot="1">
      <c r="A9" s="533" t="s">
        <v>135</v>
      </c>
      <c r="B9" s="515">
        <f>'HWI Speciais'!C6-('HWI Speciais'!P2*'HWI Speciais'!D6)</f>
        <v>94.223506297775174</v>
      </c>
      <c r="C9" s="515">
        <f>'HWI Speciais'!C6+('HWI Speciais'!P2*'HWI Speciais'!E6)</f>
        <v>96.213575741549832</v>
      </c>
      <c r="E9" s="533" t="s">
        <v>135</v>
      </c>
      <c r="F9" s="515">
        <f>'HWI Speciais'!C7-('HWI Speciais'!P2*'HWI Speciais'!D7)</f>
        <v>97.834752415750145</v>
      </c>
      <c r="G9" s="515">
        <f>'HWI Speciais'!C7+('HWI Speciais'!P2*'HWI Speciais'!E7)</f>
        <v>99.688854381999832</v>
      </c>
      <c r="H9" s="531"/>
      <c r="I9" s="533" t="s">
        <v>135</v>
      </c>
      <c r="J9" s="515">
        <f>'HWI Speciais'!C8-('HWI Speciais'!P2*'HWI Speciais'!D8)</f>
        <v>97.149342219125188</v>
      </c>
      <c r="K9" s="515">
        <f>'HWI Speciais'!C8+('HWI Speciais'!P2*'HWI Speciais'!E8)</f>
        <v>99.411346617949803</v>
      </c>
      <c r="L9" s="531"/>
      <c r="M9" s="533" t="s">
        <v>135</v>
      </c>
      <c r="N9" s="515">
        <f>'HWI Speciais'!C32-('HWI Speciais'!P2*'HWI Speciais'!D32)</f>
        <v>86.108359213500123</v>
      </c>
      <c r="O9" s="515">
        <f>'HWI Speciais'!C32+('HWI Speciais'!P2*'HWI Speciais'!E32)</f>
        <v>87.653444185374852</v>
      </c>
      <c r="P9" s="734"/>
      <c r="Q9" s="533" t="s">
        <v>135</v>
      </c>
      <c r="R9" s="515">
        <f>'HWI Speciais'!C33-('HWI Speciais'!P2*'HWI Speciais'!D33)</f>
        <v>95.93475241575014</v>
      </c>
      <c r="S9" s="515">
        <f>'HWI Speciais'!C33+('HWI Speciais'!P2*'HWI Speciais'!E33)</f>
        <v>97.788854381999826</v>
      </c>
      <c r="T9" s="734"/>
      <c r="U9" s="533" t="s">
        <v>135</v>
      </c>
      <c r="V9" s="515">
        <f>'HWI Speciais'!C34-('HWI Speciais'!P2*'HWI Speciais'!D34)</f>
        <v>96.411145618000177</v>
      </c>
      <c r="W9" s="515">
        <f>'HWI Speciais'!C34+('HWI Speciais'!P2*'HWI Speciais'!E34)</f>
        <v>98.141640786499877</v>
      </c>
    </row>
    <row r="10" spans="1:24" ht="15.75" customHeight="1" thickBot="1">
      <c r="A10" s="534" t="s">
        <v>144</v>
      </c>
      <c r="B10" s="516">
        <f>INDEX(CB!C41:C113,(ROUNDUP(((B9-80)/(20/72))+1,0)),1)</f>
        <v>279.55555555555611</v>
      </c>
      <c r="C10" s="516">
        <f>INDEX(CB!C41:C113,(ROUNDUP(((C9-80)/(20/72))+1,0)),1)</f>
        <v>285.31111111111147</v>
      </c>
      <c r="D10" s="737"/>
      <c r="E10" s="534" t="s">
        <v>144</v>
      </c>
      <c r="F10" s="516">
        <f>INDEX(CB!C41:C113,(ROUNDUP(((F9-80)/(20/72))+1,0)),1)</f>
        <v>290.24444444444464</v>
      </c>
      <c r="G10" s="516">
        <f>INDEX(CB!C41:C113,(ROUNDUP(((G9-80)/(20/72))+1,0)),1)</f>
        <v>295.17777777777781</v>
      </c>
      <c r="H10" s="737"/>
      <c r="I10" s="534" t="s">
        <v>144</v>
      </c>
      <c r="J10" s="516">
        <f>INDEX(CB!D41:D113,(ROUNDUP(((J9-80)/(20/72))+1,0)),1)</f>
        <v>297.49999999999977</v>
      </c>
      <c r="K10" s="516">
        <f>INDEX(CB!D41:D113,(ROUNDUP(((K9-80)/(20/72))+1,0)),1)</f>
        <v>304.29999999999995</v>
      </c>
      <c r="L10" s="531"/>
      <c r="M10" s="534" t="s">
        <v>144</v>
      </c>
      <c r="N10" s="516">
        <f>INDEX(CB!C41:C113,(ROUNDUP(((N9-80)/(20/72))+1,0)),1)</f>
        <v>254.88888888889022</v>
      </c>
      <c r="O10" s="516">
        <f>INDEX(CB!C41:C113,(ROUNDUP(((O9-80)/(20/72))+1,0)),1)</f>
        <v>259.82222222222344</v>
      </c>
      <c r="P10" s="747"/>
      <c r="Q10" s="534" t="s">
        <v>144</v>
      </c>
      <c r="R10" s="516">
        <f>INDEX(CB!C41:C113,(ROUNDUP(((R9-80)/(20/72))+1,0)),1)</f>
        <v>284.48888888888928</v>
      </c>
      <c r="S10" s="516">
        <f>INDEX(CB!C41:C113,(ROUNDUP(((S9-80)/(20/72))+1,0)),1)</f>
        <v>290.24444444444464</v>
      </c>
      <c r="T10" s="748"/>
      <c r="U10" s="534" t="s">
        <v>144</v>
      </c>
      <c r="V10" s="516">
        <f>INDEX(CB!F41:F113,(ROUNDUP(((V9-80)/(20/72))+1,0)),1)</f>
        <v>266.80000000000018</v>
      </c>
      <c r="W10" s="516">
        <f>INDEX(CB!F41:F113,(ROUNDUP(((W9-80)/(20/72))+1,0)),1)</f>
        <v>271.40000000000009</v>
      </c>
    </row>
    <row r="11" spans="1:24" ht="15.75" customHeight="1" thickBot="1">
      <c r="D11" s="526"/>
      <c r="H11" s="526"/>
      <c r="K11" s="767"/>
      <c r="L11" s="526"/>
      <c r="M11" s="778"/>
      <c r="N11" s="733"/>
      <c r="O11" s="733"/>
      <c r="P11" s="739"/>
      <c r="Q11" s="749"/>
      <c r="R11" s="749"/>
      <c r="S11" s="749"/>
      <c r="T11" s="739"/>
      <c r="U11" s="733"/>
      <c r="V11" s="733"/>
      <c r="W11" s="739"/>
      <c r="X11" s="526"/>
    </row>
    <row r="12" spans="1:24" ht="15.75" customHeight="1" thickBot="1">
      <c r="A12" s="781" t="s">
        <v>368</v>
      </c>
      <c r="B12" s="782" t="s">
        <v>344</v>
      </c>
      <c r="C12" s="782" t="s">
        <v>345</v>
      </c>
      <c r="K12" s="526"/>
      <c r="L12" s="523"/>
      <c r="M12" s="795" t="s">
        <v>324</v>
      </c>
      <c r="N12" s="560" t="s">
        <v>344</v>
      </c>
      <c r="O12" s="560" t="s">
        <v>345</v>
      </c>
      <c r="P12" s="750"/>
      <c r="Q12" s="561" t="s">
        <v>325</v>
      </c>
      <c r="R12" s="560" t="s">
        <v>344</v>
      </c>
      <c r="S12" s="560" t="s">
        <v>345</v>
      </c>
      <c r="T12" s="750"/>
      <c r="U12" s="561" t="s">
        <v>326</v>
      </c>
      <c r="V12" s="560" t="s">
        <v>344</v>
      </c>
      <c r="W12" s="560" t="s">
        <v>345</v>
      </c>
    </row>
    <row r="13" spans="1:24" ht="15.75" customHeight="1" thickBot="1">
      <c r="A13" s="533" t="s">
        <v>13</v>
      </c>
      <c r="B13" s="515">
        <f>'HWI Speciais'!B9*'HWI Speciais'!P1/0.2165</f>
        <v>19.855775767455398</v>
      </c>
      <c r="C13" s="515">
        <f>'HWI Speciais'!B9*'HWI Speciais'!P1</f>
        <v>4.2987754536540939</v>
      </c>
      <c r="K13" s="526"/>
      <c r="M13" s="533" t="s">
        <v>13</v>
      </c>
      <c r="N13" s="515">
        <f>'HWI Speciais'!B35*'HWI Speciais'!P1</f>
        <v>5.1052713794723843</v>
      </c>
      <c r="O13" s="515">
        <f>'HWI Speciais'!B35*'HWI Speciais'!P1</f>
        <v>5.1052713794723843</v>
      </c>
      <c r="P13" s="734"/>
      <c r="Q13" s="533" t="s">
        <v>13</v>
      </c>
      <c r="R13" s="515">
        <f>'HWI Speciais'!B36*'HWI Speciais'!P1</f>
        <v>4.6868065123025167</v>
      </c>
      <c r="S13" s="515">
        <f>'HWI Speciais'!B36*'HWI Speciais'!P1</f>
        <v>4.6868065123025167</v>
      </c>
      <c r="T13" s="734"/>
      <c r="U13" s="533" t="s">
        <v>13</v>
      </c>
      <c r="V13" s="515">
        <f>'HWI Speciais'!B37*'HWI Speciais'!P1</f>
        <v>5.7367729062923658</v>
      </c>
      <c r="W13" s="515">
        <f>'HWI Speciais'!B37*'HWI Speciais'!P1</f>
        <v>5.7367729062923658</v>
      </c>
    </row>
    <row r="14" spans="1:24" ht="15.75" customHeight="1" thickBot="1">
      <c r="A14" s="533" t="s">
        <v>135</v>
      </c>
      <c r="B14" s="515">
        <f>'HWI Speciais'!C9-('HWI Speciais'!P2*'HWI Speciais'!D9)</f>
        <v>98.629179606750057</v>
      </c>
      <c r="C14" s="515">
        <f>'HWI Speciais'!C9+('HWI Speciais'!P2*'HWI Speciais'!E9)</f>
        <v>99.370820393249943</v>
      </c>
      <c r="K14" s="526"/>
      <c r="L14" s="523"/>
      <c r="M14" s="533" t="s">
        <v>135</v>
      </c>
      <c r="N14" s="515">
        <f>'HWI Speciais'!C35-('HWI Speciais'!P2*'HWI Speciais'!D35)</f>
        <v>100.25613008990008</v>
      </c>
      <c r="O14" s="515">
        <f>'HWI Speciais'!C35+('HWI Speciais'!P2*'HWI Speciais'!E35)</f>
        <v>102.03606797749978</v>
      </c>
      <c r="P14" s="734"/>
      <c r="Q14" s="533" t="s">
        <v>135</v>
      </c>
      <c r="R14" s="515">
        <f>'HWI Speciais'!C36-('HWI Speciais'!P2*'HWI Speciais'!D36)</f>
        <v>85.181966011250097</v>
      </c>
      <c r="S14" s="515">
        <f>'HWI Speciais'!C36+('HWI Speciais'!P2*'HWI Speciais'!E36)</f>
        <v>86.72705098312484</v>
      </c>
      <c r="T14" s="734"/>
      <c r="U14" s="533" t="s">
        <v>135</v>
      </c>
      <c r="V14" s="515">
        <f>'HWI Speciais'!C37-('HWI Speciais'!P2*'HWI Speciais'!D37)</f>
        <v>94.163932022500219</v>
      </c>
      <c r="W14" s="515">
        <f>'HWI Speciais'!C37+('HWI Speciais'!P2*'HWI Speciais'!E37)</f>
        <v>96.636067977499792</v>
      </c>
    </row>
    <row r="15" spans="1:24" ht="15.75" customHeight="1" thickBot="1">
      <c r="A15" s="534" t="s">
        <v>144</v>
      </c>
      <c r="B15" s="516">
        <f>INDEX(CB!C41:C113,(ROUNDUP(((B14-80)/(20/72))+1,0)),1)</f>
        <v>292.71111111111122</v>
      </c>
      <c r="C15" s="516">
        <f>INDEX(CB!C41:C113,(ROUNDUP(((C14-80)/(20/72))+1,0)),1)</f>
        <v>294.35555555555561</v>
      </c>
      <c r="K15" s="526"/>
      <c r="L15" s="523"/>
      <c r="M15" s="534" t="s">
        <v>144</v>
      </c>
      <c r="N15" s="516" t="e">
        <f>INDEX(CB!C41:C113,(ROUNDUP(((N14-80)/(20/72))+1,0)),1)</f>
        <v>#REF!</v>
      </c>
      <c r="O15" s="516" t="e">
        <f>INDEX(CB!D41:D113,(ROUNDUP(((O14-80)/(20/72))+1,0)),1)</f>
        <v>#REF!</v>
      </c>
      <c r="P15" s="747"/>
      <c r="Q15" s="534" t="s">
        <v>144</v>
      </c>
      <c r="R15" s="516">
        <f>INDEX(CB!I41:I113,(ROUNDUP(((R14-80)/(20/72))+1,0)),1)</f>
        <v>218.31111111111125</v>
      </c>
      <c r="S15" s="516">
        <f>INDEX(CB!I41:I113,(ROUNDUP(((S14-80)/(20/72))+1,0)),1)</f>
        <v>222.5777777777779</v>
      </c>
      <c r="T15" s="748"/>
      <c r="U15" s="534" t="s">
        <v>144</v>
      </c>
      <c r="V15" s="516">
        <f>INDEX(CB!E41:E113,(ROUNDUP(((V14-80)/(20/72))+1,0)),1)</f>
        <v>244.8333333333332</v>
      </c>
      <c r="W15" s="516">
        <f>INDEX(CB!E41:E113,(ROUNDUP(((W14-80)/(20/72))+1,0)),1)</f>
        <v>251.33333333333326</v>
      </c>
    </row>
    <row r="16" spans="1:24" ht="15.75" customHeight="1" thickBot="1">
      <c r="A16" s="740"/>
      <c r="B16" s="740"/>
      <c r="C16" s="740"/>
      <c r="D16" s="526"/>
      <c r="E16" s="740"/>
      <c r="F16" s="740"/>
      <c r="G16" s="740"/>
      <c r="H16" s="526"/>
      <c r="I16" s="740"/>
      <c r="J16" s="740"/>
      <c r="K16" s="768"/>
      <c r="L16" s="526"/>
      <c r="M16" s="778"/>
      <c r="N16" s="733"/>
      <c r="O16" s="733"/>
      <c r="P16" s="751"/>
      <c r="Q16" s="734"/>
      <c r="R16" s="734"/>
      <c r="S16" s="734"/>
      <c r="T16" s="751"/>
      <c r="U16" s="752"/>
      <c r="V16" s="752"/>
      <c r="W16" s="752"/>
      <c r="X16" s="526"/>
    </row>
    <row r="17" spans="1:24" ht="15.75" customHeight="1" thickBot="1">
      <c r="A17" s="781" t="s">
        <v>352</v>
      </c>
      <c r="B17" s="782" t="s">
        <v>344</v>
      </c>
      <c r="C17" s="782" t="s">
        <v>345</v>
      </c>
      <c r="D17" s="750"/>
      <c r="E17" s="781" t="s">
        <v>353</v>
      </c>
      <c r="F17" s="782" t="s">
        <v>344</v>
      </c>
      <c r="G17" s="782" t="s">
        <v>345</v>
      </c>
      <c r="H17" s="750"/>
      <c r="I17" s="781" t="s">
        <v>354</v>
      </c>
      <c r="J17" s="782" t="s">
        <v>344</v>
      </c>
      <c r="K17" s="782" t="s">
        <v>345</v>
      </c>
      <c r="M17" s="561" t="s">
        <v>328</v>
      </c>
      <c r="N17" s="560" t="s">
        <v>344</v>
      </c>
      <c r="O17" s="560" t="s">
        <v>345</v>
      </c>
      <c r="P17" s="734"/>
      <c r="Q17" s="561" t="s">
        <v>329</v>
      </c>
      <c r="R17" s="560" t="s">
        <v>344</v>
      </c>
      <c r="S17" s="560" t="s">
        <v>345</v>
      </c>
      <c r="T17" s="735"/>
      <c r="U17" s="934" t="s">
        <v>351</v>
      </c>
      <c r="V17" s="935"/>
      <c r="W17" s="936"/>
    </row>
    <row r="18" spans="1:24" ht="15.75" customHeight="1" thickBot="1">
      <c r="A18" s="533" t="s">
        <v>13</v>
      </c>
      <c r="B18" s="515">
        <f>'HWI Speciais'!B10*'HWI Speciais'!P1/0.2165</f>
        <v>15.990049511844614</v>
      </c>
      <c r="C18" s="515">
        <f>'HWI Speciais'!B10*'HWI Speciais'!P1</f>
        <v>3.461845719314359</v>
      </c>
      <c r="D18" s="753"/>
      <c r="E18" s="533" t="s">
        <v>13</v>
      </c>
      <c r="F18" s="515">
        <f>'HWI Speciais'!B11*'HWI Speciais'!P1/0.2165</f>
        <v>15.765134529699987</v>
      </c>
      <c r="G18" s="515">
        <f>'HWI Speciais'!B11*'HWI Speciais'!P1</f>
        <v>3.4131516256800469</v>
      </c>
      <c r="H18" s="753"/>
      <c r="I18" s="533" t="s">
        <v>13</v>
      </c>
      <c r="J18" s="515">
        <f>'HWI Speciais'!B12*'HWI Speciais'!P1</f>
        <v>3.4922795278358039</v>
      </c>
      <c r="K18" s="515">
        <f>'HWI Speciais'!B12*'HWI Speciais'!P1</f>
        <v>3.4922795278358039</v>
      </c>
      <c r="L18" s="523"/>
      <c r="M18" s="533" t="s">
        <v>13</v>
      </c>
      <c r="N18" s="515">
        <f>'HWI Speciais'!B38*'HWI Speciais'!P1</f>
        <v>3.1803329904909932</v>
      </c>
      <c r="O18" s="515">
        <f>'HWI Speciais'!B38*'HWI Speciais'!P1</f>
        <v>3.1803329904909932</v>
      </c>
      <c r="P18" s="734"/>
      <c r="Q18" s="533" t="s">
        <v>13</v>
      </c>
      <c r="R18" s="515">
        <f>'HWI Speciais'!B39*'HWI Speciais'!P1</f>
        <v>3.3172851288374954</v>
      </c>
      <c r="S18" s="515">
        <f>'HWI Speciais'!B39*'HWI Speciais'!P1</f>
        <v>3.3172851288374954</v>
      </c>
      <c r="T18" s="735"/>
      <c r="U18" s="562" t="s">
        <v>261</v>
      </c>
      <c r="V18" s="796" t="s">
        <v>260</v>
      </c>
      <c r="W18" s="797" t="s">
        <v>1</v>
      </c>
    </row>
    <row r="19" spans="1:24" ht="15.75" customHeight="1" thickBot="1">
      <c r="A19" s="533" t="s">
        <v>135</v>
      </c>
      <c r="B19" s="515">
        <f>'HWI Speciais'!C10-('HWI Speciais'!P2*'HWI Speciais'!D10)</f>
        <v>94.290983005625051</v>
      </c>
      <c r="C19" s="515">
        <f>'HWI Speciais'!C10+('HWI Speciais'!P2*'HWI Speciais'!E10)</f>
        <v>94.970820393249937</v>
      </c>
      <c r="D19" s="753"/>
      <c r="E19" s="533" t="s">
        <v>135</v>
      </c>
      <c r="F19" s="515">
        <f>'HWI Speciais'!C11-('HWI Speciais'!P2*'HWI Speciais'!D11)</f>
        <v>94.490983005625054</v>
      </c>
      <c r="G19" s="515">
        <f>'HWI Speciais'!C11+('HWI Speciais'!P2*'HWI Speciais'!E11)</f>
        <v>95.17082039324994</v>
      </c>
      <c r="H19" s="753"/>
      <c r="I19" s="533" t="s">
        <v>135</v>
      </c>
      <c r="J19" s="515">
        <f>'HWI Speciais'!C12-('HWI Speciais'!P2*'HWI Speciais'!D12)</f>
        <v>95.860081306187567</v>
      </c>
      <c r="K19" s="515">
        <f>'HWI Speciais'!C12+('HWI Speciais'!P2*'HWI Speciais'!E12)</f>
        <v>96.570820393249946</v>
      </c>
      <c r="L19" s="523"/>
      <c r="M19" s="533" t="s">
        <v>135</v>
      </c>
      <c r="N19" s="515">
        <f>'HWI Speciais'!C38-('HWI Speciais'!P2*'HWI Speciais'!D38)</f>
        <v>91.058359213500125</v>
      </c>
      <c r="O19" s="515">
        <f>'HWI Speciais'!C38+('HWI Speciais'!P2*'HWI Speciais'!E38)</f>
        <v>93.036067977499783</v>
      </c>
      <c r="P19" s="734"/>
      <c r="Q19" s="533" t="s">
        <v>135</v>
      </c>
      <c r="R19" s="515">
        <f>'HWI Speciais'!C39-('HWI Speciais'!P2*'HWI Speciais'!D39)</f>
        <v>91.658359213500134</v>
      </c>
      <c r="S19" s="515">
        <f>'HWI Speciais'!C39+('HWI Speciais'!P2*'HWI Speciais'!E39)</f>
        <v>93.265247584249863</v>
      </c>
      <c r="T19" s="735"/>
      <c r="U19" s="521" t="s">
        <v>350</v>
      </c>
      <c r="V19" s="517">
        <v>360</v>
      </c>
      <c r="W19" s="517" t="s">
        <v>314</v>
      </c>
    </row>
    <row r="20" spans="1:24" ht="15.75" customHeight="1" thickBot="1">
      <c r="A20" s="534" t="s">
        <v>144</v>
      </c>
      <c r="B20" s="516">
        <f>INDEX(CB!F41:F113,(ROUNDUP(((B19-80)/(20/72))+1,0)),1)</f>
        <v>260.66666666666697</v>
      </c>
      <c r="C20" s="516">
        <f>INDEX(CB!F41:F113,(ROUNDUP(((C19-80)/(20/72))+1,0)),1)</f>
        <v>262.20000000000027</v>
      </c>
      <c r="D20" s="770"/>
      <c r="E20" s="534" t="s">
        <v>144</v>
      </c>
      <c r="F20" s="516">
        <f>INDEX(CB!F41:F113,(ROUNDUP(((F19-80)/(20/72))+1,0)),1)</f>
        <v>261.43333333333362</v>
      </c>
      <c r="G20" s="516">
        <f>INDEX(CB!F41:F113,(ROUNDUP(((G19-80)/(20/72))+1,0)),1)</f>
        <v>262.96666666666692</v>
      </c>
      <c r="H20" s="769"/>
      <c r="I20" s="534" t="s">
        <v>144</v>
      </c>
      <c r="J20" s="516">
        <f>INDEX(CB!F41:F113,(ROUNDUP(((J19-80)/(20/72))+1,0)),1)</f>
        <v>265.26666666666688</v>
      </c>
      <c r="K20" s="516">
        <f>INDEX(CB!F41:F113,(ROUNDUP(((K19-80)/(20/72))+1,0)),1)</f>
        <v>266.80000000000018</v>
      </c>
      <c r="L20" s="523"/>
      <c r="M20" s="534" t="s">
        <v>144</v>
      </c>
      <c r="N20" s="516">
        <f>INDEX(CB!I41:I113,(ROUNDUP(((N19-80)/(20/72))+1,0)),1)</f>
        <v>233.24444444444453</v>
      </c>
      <c r="O20" s="516">
        <f>INDEX(CB!I41:I113,(ROUNDUP(((O19-80)/(20/72))+1,0)),1)</f>
        <v>238.22222222222229</v>
      </c>
      <c r="P20" s="754"/>
      <c r="Q20" s="534" t="s">
        <v>144</v>
      </c>
      <c r="R20" s="516">
        <f>INDEX(CB!I41:I113,(ROUNDUP(((R19-80)/(20/72))+1,0)),1)</f>
        <v>234.66666666666674</v>
      </c>
      <c r="S20" s="516">
        <f>INDEX(CB!I41:I113,(ROUNDUP(((S19-80)/(20/72))+1,0)),1)</f>
        <v>238.93333333333339</v>
      </c>
      <c r="T20" s="735"/>
      <c r="U20" s="521" t="s">
        <v>349</v>
      </c>
      <c r="V20" s="517">
        <v>403</v>
      </c>
      <c r="W20" s="517">
        <v>1</v>
      </c>
    </row>
    <row r="21" spans="1:24" ht="15.75" customHeight="1" thickBot="1">
      <c r="A21" s="755"/>
      <c r="B21" s="755"/>
      <c r="C21" s="755"/>
      <c r="D21" s="761"/>
      <c r="E21" s="527"/>
      <c r="F21" s="527"/>
      <c r="G21" s="527"/>
      <c r="H21" s="761"/>
      <c r="I21" s="527"/>
      <c r="J21" s="527"/>
      <c r="K21" s="527"/>
      <c r="L21" s="779"/>
      <c r="M21" s="733"/>
      <c r="N21" s="733"/>
      <c r="O21" s="733"/>
      <c r="P21" s="751"/>
      <c r="Q21" s="734"/>
      <c r="R21" s="734"/>
      <c r="S21" s="734"/>
      <c r="T21" s="735"/>
      <c r="U21" s="521" t="s">
        <v>349</v>
      </c>
      <c r="V21" s="517">
        <v>404</v>
      </c>
      <c r="W21" s="517">
        <v>3</v>
      </c>
    </row>
    <row r="22" spans="1:24" ht="15.75" customHeight="1" thickBot="1">
      <c r="A22" s="943" t="s">
        <v>298</v>
      </c>
      <c r="B22" s="944"/>
      <c r="C22" s="944"/>
      <c r="D22" s="944"/>
      <c r="E22" s="944"/>
      <c r="F22" s="944"/>
      <c r="G22" s="944"/>
      <c r="H22" s="944"/>
      <c r="I22" s="944"/>
      <c r="J22" s="944"/>
      <c r="K22" s="945"/>
      <c r="L22" s="736"/>
      <c r="M22" s="561" t="s">
        <v>363</v>
      </c>
      <c r="N22" s="560" t="s">
        <v>344</v>
      </c>
      <c r="O22" s="560" t="s">
        <v>345</v>
      </c>
      <c r="P22" s="734"/>
      <c r="Q22" s="734"/>
      <c r="T22" s="523"/>
      <c r="U22" s="521" t="s">
        <v>349</v>
      </c>
      <c r="V22" s="517">
        <v>411</v>
      </c>
      <c r="W22" s="517">
        <v>3</v>
      </c>
    </row>
    <row r="23" spans="1:24" ht="15.75" customHeight="1" thickBot="1">
      <c r="A23" s="784" t="s">
        <v>299</v>
      </c>
      <c r="B23" s="786" t="s">
        <v>344</v>
      </c>
      <c r="C23" s="786" t="s">
        <v>345</v>
      </c>
      <c r="D23" s="729"/>
      <c r="E23" s="729"/>
      <c r="F23" s="729"/>
      <c r="G23" s="729"/>
      <c r="H23" s="729"/>
      <c r="I23" s="729"/>
      <c r="J23" s="729"/>
      <c r="K23" s="729"/>
      <c r="L23" s="736"/>
      <c r="M23" s="533" t="s">
        <v>13</v>
      </c>
      <c r="N23" s="515">
        <f>'HWI Speciais'!B40*'HWI Speciais'!P1</f>
        <v>4.1846486716986755</v>
      </c>
      <c r="O23" s="515">
        <f>'HWI Speciais'!B40*'HWI Speciais'!P1</f>
        <v>4.1846486716986755</v>
      </c>
      <c r="P23" s="734"/>
      <c r="Q23" s="734"/>
      <c r="R23" s="740"/>
      <c r="S23" s="740"/>
      <c r="T23" s="741"/>
      <c r="U23" s="521" t="s">
        <v>348</v>
      </c>
      <c r="V23" s="517">
        <v>324</v>
      </c>
      <c r="W23" s="517" t="s">
        <v>314</v>
      </c>
    </row>
    <row r="24" spans="1:24" ht="15.75" customHeight="1" thickBot="1">
      <c r="A24" s="533" t="s">
        <v>13</v>
      </c>
      <c r="B24" s="515">
        <f>'HWI Speciais'!B16*'HWI Speciais'!P1</f>
        <v>6.5813110927624621</v>
      </c>
      <c r="C24" s="515">
        <f>'HWI Speciais'!B16*'HWI Speciais'!P1</f>
        <v>6.5813110927624621</v>
      </c>
      <c r="K24" s="526"/>
      <c r="L24" s="736"/>
      <c r="M24" s="533" t="s">
        <v>135</v>
      </c>
      <c r="N24" s="515">
        <f>'HWI Speciais'!C40-('HWI Speciais'!P2*'HWI Speciais'!D40)</f>
        <v>86.843769410125105</v>
      </c>
      <c r="O24" s="515">
        <f>'HWI Speciais'!C40+('HWI Speciais'!P2*'HWI Speciais'!E40)</f>
        <v>87.832623792124934</v>
      </c>
      <c r="P24" s="734"/>
      <c r="Q24" s="735"/>
      <c r="R24" s="562" t="s">
        <v>261</v>
      </c>
      <c r="S24" s="796" t="s">
        <v>260</v>
      </c>
      <c r="T24" s="796" t="s">
        <v>1</v>
      </c>
      <c r="U24" s="521" t="s">
        <v>348</v>
      </c>
      <c r="V24" s="517">
        <v>333</v>
      </c>
      <c r="W24" s="517">
        <v>1</v>
      </c>
    </row>
    <row r="25" spans="1:24" ht="15.75" customHeight="1" thickBot="1">
      <c r="A25" s="533" t="s">
        <v>135</v>
      </c>
      <c r="B25" s="515">
        <f>'HWI Speciais'!C16-('HWI Speciais'!P2*'HWI Speciais'!D16)</f>
        <v>99.543161879237672</v>
      </c>
      <c r="C25" s="515">
        <f>'HWI Speciais'!C16+('HWI Speciais'!P2*'HWI Speciais'!E16)</f>
        <v>101.83606797749978</v>
      </c>
      <c r="K25" s="526"/>
      <c r="L25" s="736"/>
      <c r="M25" s="534" t="s">
        <v>144</v>
      </c>
      <c r="N25" s="516">
        <f>IF('HWI Speciais'!J36=0,INDEX(CB!B41:B113,(ROUNDDOWN(((N24-80)/(20/72)+1),0)),1),INDEX(CB!B41:B113,(ROUNDUP(((N24-80)/(20/72))+1,0)),1))</f>
        <v>243.44444444444474</v>
      </c>
      <c r="O25" s="516">
        <f>IF('HWI Speciais'!K36=0,INDEX(CB!B41:B113,(ROUNDDOWN(((O24-80)/(20/72)+1),0)),1),INDEX(CB!B41:B113,(ROUNDUP(((O24-80)/(20/72))+1,0)),1))</f>
        <v>245.77777777777806</v>
      </c>
      <c r="P25" s="734"/>
      <c r="Q25" s="735"/>
      <c r="R25" s="521" t="s">
        <v>347</v>
      </c>
      <c r="S25" s="517">
        <v>403</v>
      </c>
      <c r="T25" s="517">
        <v>1</v>
      </c>
      <c r="U25" s="521" t="s">
        <v>348</v>
      </c>
      <c r="V25" s="517">
        <v>339</v>
      </c>
      <c r="W25" s="517">
        <v>2</v>
      </c>
    </row>
    <row r="26" spans="1:24" ht="15.75" customHeight="1" thickBot="1">
      <c r="A26" s="534" t="s">
        <v>144</v>
      </c>
      <c r="B26" s="516">
        <f>INDEX(CB!D41:D113,(ROUNDUP(((B25-80)/(20/72))+1,0)),1)</f>
        <v>305.14999999999998</v>
      </c>
      <c r="C26" s="516" t="e">
        <f>INDEX(CB!D41:D113,(ROUNDUP(((C25-80)/(20/72))+1,0)),1)</f>
        <v>#REF!</v>
      </c>
      <c r="K26" s="526"/>
      <c r="L26" s="736"/>
      <c r="M26" s="780" t="s">
        <v>4</v>
      </c>
      <c r="N26" s="764">
        <f>'HWI Speciais'!J37</f>
        <v>9</v>
      </c>
      <c r="O26" s="765">
        <f>'HWI Speciais'!K37</f>
        <v>9</v>
      </c>
      <c r="P26" s="754"/>
      <c r="Q26" s="735"/>
      <c r="R26" s="521" t="s">
        <v>346</v>
      </c>
      <c r="S26" s="764">
        <v>349</v>
      </c>
      <c r="T26" s="764">
        <v>1</v>
      </c>
      <c r="U26" s="521" t="s">
        <v>347</v>
      </c>
      <c r="V26" s="764">
        <v>388</v>
      </c>
      <c r="W26" s="764">
        <v>3</v>
      </c>
    </row>
    <row r="27" spans="1:24" ht="15.75" customHeight="1" thickBot="1">
      <c r="D27" s="526"/>
      <c r="E27" s="740"/>
      <c r="F27" s="740"/>
      <c r="G27" s="740"/>
      <c r="H27" s="526"/>
      <c r="K27" s="768"/>
      <c r="L27" s="739"/>
      <c r="M27" s="526"/>
      <c r="N27" s="526"/>
      <c r="O27" s="526"/>
      <c r="P27" s="526"/>
      <c r="Q27" s="526"/>
      <c r="R27" s="526"/>
      <c r="S27" s="526"/>
      <c r="T27" s="526"/>
      <c r="U27" s="526"/>
      <c r="V27" s="526"/>
      <c r="W27" s="526"/>
      <c r="X27" s="526"/>
    </row>
    <row r="28" spans="1:24" ht="15.75" customHeight="1" thickBot="1">
      <c r="A28" s="784" t="s">
        <v>304</v>
      </c>
      <c r="B28" s="785" t="s">
        <v>344</v>
      </c>
      <c r="C28" s="785" t="s">
        <v>345</v>
      </c>
      <c r="D28" s="746"/>
      <c r="E28" s="784" t="s">
        <v>305</v>
      </c>
      <c r="F28" s="785" t="s">
        <v>344</v>
      </c>
      <c r="G28" s="785" t="s">
        <v>345</v>
      </c>
      <c r="H28" s="746"/>
      <c r="I28" s="784" t="s">
        <v>306</v>
      </c>
      <c r="J28" s="785" t="s">
        <v>344</v>
      </c>
      <c r="K28" s="785" t="s">
        <v>345</v>
      </c>
      <c r="L28" s="733"/>
      <c r="M28" s="931" t="s">
        <v>333</v>
      </c>
      <c r="N28" s="932"/>
      <c r="O28" s="932"/>
      <c r="P28" s="932"/>
      <c r="Q28" s="932"/>
      <c r="R28" s="932"/>
      <c r="S28" s="932"/>
      <c r="T28" s="932"/>
      <c r="U28" s="932"/>
      <c r="V28" s="932"/>
      <c r="W28" s="933"/>
    </row>
    <row r="29" spans="1:24" ht="15.75" customHeight="1" thickBot="1">
      <c r="A29" s="533" t="s">
        <v>13</v>
      </c>
      <c r="B29" s="775">
        <f>'HWI Speciais'!B17*'HWI Speciais'!P1</f>
        <v>6.267462442385062</v>
      </c>
      <c r="C29" s="515">
        <f>'HWI Speciais'!B17*'HWI Speciais'!P1</f>
        <v>6.267462442385062</v>
      </c>
      <c r="D29" s="756"/>
      <c r="E29" s="533" t="s">
        <v>13</v>
      </c>
      <c r="F29" s="515">
        <f>'HWI Speciais'!B18*'HWI Speciais'!P1</f>
        <v>6.3538183740646614</v>
      </c>
      <c r="G29" s="515">
        <f>'HWI Speciais'!B18*'HWI Speciais'!P1</f>
        <v>6.3538183740646614</v>
      </c>
      <c r="H29" s="756"/>
      <c r="I29" s="533" t="s">
        <v>13</v>
      </c>
      <c r="J29" s="515">
        <f>'HWI Speciais'!B19*'HWI Speciais'!P1</f>
        <v>6.4025124676989735</v>
      </c>
      <c r="K29" s="515">
        <f>'HWI Speciais'!B19*'HWI Speciais'!P1</f>
        <v>6.4025124676989735</v>
      </c>
      <c r="L29" s="736"/>
      <c r="M29" s="544" t="s">
        <v>355</v>
      </c>
      <c r="N29" s="545" t="s">
        <v>344</v>
      </c>
      <c r="O29" s="545" t="s">
        <v>345</v>
      </c>
      <c r="P29" s="757"/>
      <c r="Q29" s="544" t="s">
        <v>356</v>
      </c>
      <c r="R29" s="545" t="s">
        <v>344</v>
      </c>
      <c r="S29" s="545" t="s">
        <v>345</v>
      </c>
      <c r="T29" s="757"/>
      <c r="U29" s="544" t="s">
        <v>357</v>
      </c>
      <c r="V29" s="545" t="s">
        <v>344</v>
      </c>
      <c r="W29" s="793" t="s">
        <v>345</v>
      </c>
    </row>
    <row r="30" spans="1:24" ht="15.75" customHeight="1" thickBot="1">
      <c r="A30" s="533" t="s">
        <v>135</v>
      </c>
      <c r="B30" s="775">
        <f>'HWI Speciais'!C17-('HWI Speciais'!P2*'HWI Speciais'!D17)</f>
        <v>93.582523292150114</v>
      </c>
      <c r="C30" s="515">
        <f>'HWI Speciais'!C17+('HWI Speciais'!P2*'HWI Speciais'!E17)</f>
        <v>95.038611369644869</v>
      </c>
      <c r="D30" s="756"/>
      <c r="E30" s="533" t="s">
        <v>135</v>
      </c>
      <c r="F30" s="515">
        <f>'HWI Speciais'!C18-('HWI Speciais'!P2*'HWI Speciais'!D18)</f>
        <v>94.81274620451012</v>
      </c>
      <c r="G30" s="515">
        <f>'HWI Speciais'!C18+('HWI Speciais'!P2*'HWI Speciais'!E18)</f>
        <v>96.278722825824872</v>
      </c>
      <c r="H30" s="756"/>
      <c r="I30" s="533" t="s">
        <v>135</v>
      </c>
      <c r="J30" s="515">
        <f>'HWI Speciais'!C19-('HWI Speciais'!P2*'HWI Speciais'!D19)</f>
        <v>96.089260912937618</v>
      </c>
      <c r="K30" s="515">
        <f>'HWI Speciais'!C19+('HWI Speciais'!P2*'HWI Speciais'!E19)</f>
        <v>97.566362146049869</v>
      </c>
      <c r="L30" s="736"/>
      <c r="M30" s="533" t="s">
        <v>13</v>
      </c>
      <c r="N30" s="515">
        <f>'HWI Speciais'!B44*'HWI Speciais'!P1</f>
        <v>6.6497871619357136</v>
      </c>
      <c r="O30" s="515">
        <f>'HWI Speciais'!B44*'HWI Speciais'!P1</f>
        <v>6.6497871619357136</v>
      </c>
      <c r="P30" s="736"/>
      <c r="Q30" s="533" t="s">
        <v>13</v>
      </c>
      <c r="R30" s="515">
        <f>'HWI Speciais'!B45*'HWI Speciais'!P1</f>
        <v>6.6878294225875194</v>
      </c>
      <c r="S30" s="515">
        <f>'HWI Speciais'!B45*'HWI Speciais'!P1</f>
        <v>6.6878294225875194</v>
      </c>
      <c r="T30" s="736"/>
      <c r="U30" s="533" t="s">
        <v>13</v>
      </c>
      <c r="V30" s="515">
        <f>'HWI Speciais'!B46*'HWI Speciais'!P1</f>
        <v>6.6954378747178813</v>
      </c>
      <c r="W30" s="515">
        <f>'HWI Speciais'!B46*'HWI Speciais'!P1</f>
        <v>6.6954378747178813</v>
      </c>
    </row>
    <row r="31" spans="1:24" ht="15.75" customHeight="1" thickBot="1">
      <c r="A31" s="534" t="s">
        <v>144</v>
      </c>
      <c r="B31" s="776">
        <f>INDEX(CB!C41:C113,(ROUNDUP(((B30-80)/(20/72))+1,0)),1)</f>
        <v>277.08888888888953</v>
      </c>
      <c r="C31" s="516">
        <f>INDEX(CB!C41:C113,(ROUNDUP(((C30-80)/(20/72))+1,0)),1)</f>
        <v>282.02222222222269</v>
      </c>
      <c r="D31" s="771"/>
      <c r="E31" s="534" t="s">
        <v>144</v>
      </c>
      <c r="F31" s="516">
        <f>INDEX(CB!C41:C113,(ROUNDUP(((F30-80)/(20/72))+1,0)),1)</f>
        <v>281.2000000000005</v>
      </c>
      <c r="G31" s="516">
        <f>INDEX(CB!C41:C113,(ROUNDUP(((G30-80)/(20/72))+1,0)),1)</f>
        <v>285.31111111111147</v>
      </c>
      <c r="H31" s="737"/>
      <c r="I31" s="534" t="s">
        <v>144</v>
      </c>
      <c r="J31" s="516">
        <f>INDEX(CB!C41:C113,(ROUNDUP(((J30-80)/(20/72))+1,0)),1)</f>
        <v>284.48888888888928</v>
      </c>
      <c r="K31" s="516">
        <f>INDEX(CB!C41:D113,(ROUNDUP(((K30-80)/(20/72))+1,0)),1)</f>
        <v>289.42222222222244</v>
      </c>
      <c r="L31" s="736"/>
      <c r="M31" s="533" t="s">
        <v>135</v>
      </c>
      <c r="N31" s="515">
        <f>'HWI Speciais'!C44-('HWI Speciais'!P2*'HWI Speciais'!D44)</f>
        <v>98.592604598337672</v>
      </c>
      <c r="O31" s="515">
        <f>'HWI Speciais'!C44+('HWI Speciais'!P2*'HWI Speciais'!E44)</f>
        <v>100.83606797749978</v>
      </c>
      <c r="P31" s="736"/>
      <c r="Q31" s="533" t="s">
        <v>135</v>
      </c>
      <c r="R31" s="515">
        <f>'HWI Speciais'!C45-('HWI Speciais'!P2*'HWI Speciais'!D45)</f>
        <v>100.8628174607002</v>
      </c>
      <c r="S31" s="515">
        <f>'HWI Speciais'!C45+('HWI Speciais'!P2*'HWI Speciais'!E45)</f>
        <v>103.23606797749979</v>
      </c>
      <c r="T31" s="736"/>
      <c r="U31" s="533" t="s">
        <v>135</v>
      </c>
      <c r="V31" s="515">
        <f>'HWI Speciais'!C46-('HWI Speciais'!P2*'HWI Speciais'!D46)</f>
        <v>101.1628174607002</v>
      </c>
      <c r="W31" s="515">
        <f>'HWI Speciais'!C46+('HWI Speciais'!P2*'HWI Speciais'!E46)</f>
        <v>103.53606797749978</v>
      </c>
    </row>
    <row r="32" spans="1:24" ht="15.75" customHeight="1" thickBot="1">
      <c r="H32" s="740"/>
      <c r="L32" s="736"/>
      <c r="M32" s="534" t="s">
        <v>144</v>
      </c>
      <c r="N32" s="516">
        <f>INDEX(CB!D41:D113,(ROUNDUP(((N31-80)/(20/72))+1,0)),1)</f>
        <v>301.74999999999989</v>
      </c>
      <c r="O32" s="516" t="e">
        <f>INDEX(CB!D41:D113,(ROUNDUP(((O31-80)/(20/72))+1,0)),1)</f>
        <v>#REF!</v>
      </c>
      <c r="P32" s="770"/>
      <c r="Q32" s="534" t="s">
        <v>144</v>
      </c>
      <c r="R32" s="516" t="e">
        <f>INDEX(CB!D41:D113,(ROUNDUP(((R31-80)/(20/72))+1,0)),1)</f>
        <v>#REF!</v>
      </c>
      <c r="S32" s="516" t="e">
        <f>INDEX(CB!D41:D113,(ROUNDUP(((S31-80)/(20/72))+1,0)),1)</f>
        <v>#REF!</v>
      </c>
      <c r="T32" s="759"/>
      <c r="U32" s="534" t="s">
        <v>144</v>
      </c>
      <c r="V32" s="516" t="e">
        <f>INDEX(CB!D41:D113,(ROUNDUP(((V31-80)/(20/72))+1,0)),1)</f>
        <v>#REF!</v>
      </c>
      <c r="W32" s="516" t="e">
        <f>INDEX(CB!D41:D113,(ROUNDUP(((W31-80)/(20/72))+1,0)),1)</f>
        <v>#REF!</v>
      </c>
    </row>
    <row r="33" spans="1:23" ht="15.75" customHeight="1" thickBot="1">
      <c r="A33" s="928" t="s">
        <v>307</v>
      </c>
      <c r="B33" s="929"/>
      <c r="C33" s="929"/>
      <c r="D33" s="929"/>
      <c r="E33" s="929"/>
      <c r="F33" s="929"/>
      <c r="G33" s="929"/>
      <c r="H33" s="929"/>
      <c r="I33" s="929"/>
      <c r="J33" s="929"/>
      <c r="K33" s="930"/>
      <c r="L33" s="739"/>
      <c r="T33" s="526"/>
    </row>
    <row r="34" spans="1:23" ht="15.75" customHeight="1" thickBot="1">
      <c r="A34" s="546" t="s">
        <v>360</v>
      </c>
      <c r="B34" s="547" t="s">
        <v>344</v>
      </c>
      <c r="C34" s="547" t="s">
        <v>345</v>
      </c>
      <c r="D34" s="757"/>
      <c r="E34" s="546" t="s">
        <v>359</v>
      </c>
      <c r="F34" s="547" t="s">
        <v>344</v>
      </c>
      <c r="G34" s="547" t="s">
        <v>345</v>
      </c>
      <c r="H34" s="732"/>
      <c r="I34" s="546" t="s">
        <v>361</v>
      </c>
      <c r="J34" s="547" t="s">
        <v>344</v>
      </c>
      <c r="K34" s="547" t="s">
        <v>345</v>
      </c>
      <c r="L34" s="733"/>
      <c r="M34" s="937" t="s">
        <v>1344</v>
      </c>
      <c r="N34" s="938"/>
      <c r="O34" s="938"/>
      <c r="P34" s="938"/>
      <c r="Q34" s="938"/>
      <c r="R34" s="938"/>
      <c r="S34" s="939"/>
      <c r="U34" s="946" t="s">
        <v>342</v>
      </c>
      <c r="V34" s="947"/>
      <c r="W34" s="948"/>
    </row>
    <row r="35" spans="1:23" ht="15.75" customHeight="1" thickBot="1">
      <c r="A35" s="533" t="s">
        <v>13</v>
      </c>
      <c r="B35" s="515">
        <f>'HWI Speciais'!B23*'HWI Speciais'!P1</f>
        <v>5.0253826321035913</v>
      </c>
      <c r="C35" s="515">
        <f>'HWI Speciais'!B23*'HWI Speciais'!P1</f>
        <v>5.0253826321035913</v>
      </c>
      <c r="D35" s="736"/>
      <c r="E35" s="533" t="s">
        <v>13</v>
      </c>
      <c r="F35" s="515">
        <f>'HWI Speciais'!B24*'HWI Speciais'!P1</f>
        <v>5.0976629273420233</v>
      </c>
      <c r="G35" s="515">
        <f>'HWI Speciais'!B24*'HWI Speciais'!P1</f>
        <v>5.0976629273420233</v>
      </c>
      <c r="H35" s="735"/>
      <c r="I35" s="533" t="s">
        <v>13</v>
      </c>
      <c r="J35" s="515">
        <f>'HWI Speciais'!B25*'HWI Speciais'!P1</f>
        <v>6.6269618055446298</v>
      </c>
      <c r="K35" s="515">
        <f>'HWI Speciais'!B25*'HWI Speciais'!P1</f>
        <v>6.6269618055446298</v>
      </c>
      <c r="L35" s="733"/>
      <c r="M35" s="542" t="s">
        <v>366</v>
      </c>
      <c r="N35" s="541" t="s">
        <v>344</v>
      </c>
      <c r="O35" s="541" t="s">
        <v>345</v>
      </c>
      <c r="P35" s="758"/>
      <c r="Q35" s="542" t="s">
        <v>367</v>
      </c>
      <c r="R35" s="541" t="s">
        <v>344</v>
      </c>
      <c r="S35" s="541" t="s">
        <v>345</v>
      </c>
      <c r="U35" s="790" t="s">
        <v>364</v>
      </c>
      <c r="V35" s="791" t="s">
        <v>344</v>
      </c>
      <c r="W35" s="792" t="s">
        <v>345</v>
      </c>
    </row>
    <row r="36" spans="1:23" ht="15.75" customHeight="1" thickBot="1">
      <c r="A36" s="533" t="s">
        <v>135</v>
      </c>
      <c r="B36" s="515">
        <f>'HWI Speciais'!C23-('HWI Speciais'!P2*'HWI Speciais'!D23)</f>
        <v>98.017933488775085</v>
      </c>
      <c r="C36" s="515">
        <f>'HWI Speciais'!C23+('HWI Speciais'!P2*'HWI Speciais'!E23)</f>
        <v>99.078479813469897</v>
      </c>
      <c r="D36" s="736"/>
      <c r="E36" s="533" t="s">
        <v>135</v>
      </c>
      <c r="F36" s="515">
        <v>100</v>
      </c>
      <c r="G36" s="515">
        <v>100</v>
      </c>
      <c r="H36" s="735"/>
      <c r="I36" s="533" t="s">
        <v>135</v>
      </c>
      <c r="J36" s="515">
        <f>'HWI Speciais'!C25-('HWI Speciais'!P2*'HWI Speciais'!D25)</f>
        <v>97.702128623625214</v>
      </c>
      <c r="K36" s="515">
        <f>'HWI Speciais'!C25+('HWI Speciais'!P2*'HWI Speciais'!E25)</f>
        <v>100.23606797749979</v>
      </c>
      <c r="L36" s="733"/>
      <c r="M36" s="533" t="s">
        <v>13</v>
      </c>
      <c r="N36" s="515">
        <f>'HWI Speciais'!B54*'HWI Speciais'!P1</f>
        <v>7.0187970902582331</v>
      </c>
      <c r="O36" s="515">
        <f>'HWI Speciais'!B54*'HWI Speciais'!P1</f>
        <v>7.0187970902582331</v>
      </c>
      <c r="P36" s="734"/>
      <c r="Q36" s="533" t="s">
        <v>13</v>
      </c>
      <c r="R36" s="515">
        <f>'HWI Speciais'!B55*'HWI Speciais'!P1</f>
        <v>7.0302097684537754</v>
      </c>
      <c r="S36" s="515">
        <f>'HWI Speciais'!B55*'HWI Speciais'!P1</f>
        <v>7.0302097684537754</v>
      </c>
      <c r="U36" s="533" t="s">
        <v>13</v>
      </c>
      <c r="V36" s="515">
        <f>'HWI Speciais'!B59*'HWI Speciais'!P1</f>
        <v>7.1005879506596168</v>
      </c>
      <c r="W36" s="515">
        <f>'HWI Speciais'!B59*'HWI Speciais'!P1</f>
        <v>7.1005879506596168</v>
      </c>
    </row>
    <row r="37" spans="1:23" ht="15.75" customHeight="1" thickBot="1">
      <c r="A37" s="534" t="s">
        <v>144</v>
      </c>
      <c r="B37" s="516">
        <f>INDEX(CB!C41:C113,(ROUNDUP(((B36-80)/(20/72))+1,0)),1)</f>
        <v>290.24444444444464</v>
      </c>
      <c r="C37" s="516">
        <f>INDEX(CB!C41:C113,(ROUNDUP(((C36-80)/(20/72))+1,0)),1)</f>
        <v>293.53333333333342</v>
      </c>
      <c r="D37" s="759"/>
      <c r="E37" s="534" t="s">
        <v>144</v>
      </c>
      <c r="F37" s="516">
        <f>INDEX(CB!C41:C113,(ROUNDUP(((F36-80)/(20/72))+1,0)),1)</f>
        <v>296</v>
      </c>
      <c r="G37" s="516">
        <f>INDEX(CB!C41:C113,(ROUNDUP(((G36-80)/(20/72))+1,0)),1)</f>
        <v>296</v>
      </c>
      <c r="H37" s="748"/>
      <c r="I37" s="534" t="s">
        <v>144</v>
      </c>
      <c r="J37" s="516">
        <f>INDEX(CB!D41:D113,(ROUNDUP(((J36-80)/(20/72))+1,0)),1)</f>
        <v>299.19999999999982</v>
      </c>
      <c r="K37" s="516" t="e">
        <f>INDEX(CB!D41:D113,(ROUNDUP(((K36-80)/(20/72))+1,0)),1)</f>
        <v>#REF!</v>
      </c>
      <c r="L37" s="733"/>
      <c r="M37" s="533" t="s">
        <v>135</v>
      </c>
      <c r="N37" s="515">
        <f>'HWI Speciais'!C54-('HWI Speciais'!P2*'HWI Speciais'!D54)</f>
        <v>99.338653382050197</v>
      </c>
      <c r="O37" s="515">
        <f>'HWI Speciais'!C54+('HWI Speciais'!P2*'HWI Speciais'!E54)</f>
        <v>101.78606797749978</v>
      </c>
      <c r="P37" s="734"/>
      <c r="Q37" s="533" t="s">
        <v>135</v>
      </c>
      <c r="R37" s="515">
        <f>'HWI Speciais'!C55-('HWI Speciais'!P2*'HWI Speciais'!D55)</f>
        <v>101.56618124609521</v>
      </c>
      <c r="S37" s="515">
        <f>'HWI Speciais'!C55+('HWI Speciais'!P2*'HWI Speciais'!E55)</f>
        <v>104.01606797749979</v>
      </c>
      <c r="U37" s="533" t="s">
        <v>135</v>
      </c>
      <c r="V37" s="515">
        <f>[1]Base!C59-([1]Base!P2*[1]Base!D59)</f>
        <v>101.35</v>
      </c>
      <c r="W37" s="515">
        <f>'HWI Speciais'!C59+('HWI Speciais'!P2*'HWI Speciais'!E59)</f>
        <v>102.58606797749978</v>
      </c>
    </row>
    <row r="38" spans="1:23" ht="15.75" customHeight="1" thickBot="1">
      <c r="A38" s="760"/>
      <c r="B38" s="761"/>
      <c r="C38" s="761"/>
      <c r="D38" s="739"/>
      <c r="E38" s="749"/>
      <c r="F38" s="749"/>
      <c r="G38" s="749"/>
      <c r="H38" s="751"/>
      <c r="I38" s="734"/>
      <c r="J38" s="734"/>
      <c r="K38" s="773"/>
      <c r="M38" s="534" t="s">
        <v>144</v>
      </c>
      <c r="N38" s="516">
        <f>INDEX(CB!D41:D113,(ROUNDUP(((N37-80)/(20/72))+1,0)),1)</f>
        <v>304.29999999999995</v>
      </c>
      <c r="O38" s="516" t="e">
        <f>INDEX(CB!D41:D113,(ROUNDUP(((O37-80)/(20/72))+1,0)),1)</f>
        <v>#REF!</v>
      </c>
      <c r="P38" s="771"/>
      <c r="Q38" s="534" t="s">
        <v>144</v>
      </c>
      <c r="R38" s="516" t="e">
        <f>INDEX(CB!D41:D113,(ROUNDUP(((R37-80)/(20/72))+1,0)),1)</f>
        <v>#REF!</v>
      </c>
      <c r="S38" s="516" t="e">
        <f>INDEX(CB!D41:D113,(ROUNDUP(((S37-80)/(20/72))+1,0)),1)</f>
        <v>#REF!</v>
      </c>
      <c r="U38" s="534" t="s">
        <v>144</v>
      </c>
      <c r="V38" s="516" t="e">
        <f>INDEX(CB!D41:D113,(ROUNDUP(((V37-80)/(20/72))+1,0)),1)</f>
        <v>#REF!</v>
      </c>
      <c r="W38" s="516" t="e">
        <f>INDEX(CB!D41:D113,(ROUNDUP(((W37-80)/(20/72))+1,0)),1)</f>
        <v>#REF!</v>
      </c>
    </row>
    <row r="39" spans="1:23" ht="15.75" customHeight="1" thickBot="1">
      <c r="A39" s="546" t="s">
        <v>362</v>
      </c>
      <c r="B39" s="547" t="s">
        <v>344</v>
      </c>
      <c r="C39" s="547" t="s">
        <v>345</v>
      </c>
      <c r="D39" s="750"/>
      <c r="E39" s="546" t="s">
        <v>358</v>
      </c>
      <c r="F39" s="547" t="s">
        <v>344</v>
      </c>
      <c r="G39" s="547" t="s">
        <v>345</v>
      </c>
      <c r="H39" s="734"/>
      <c r="I39" s="734"/>
      <c r="J39" s="734"/>
      <c r="K39" s="751"/>
    </row>
    <row r="40" spans="1:23" ht="15.75" customHeight="1" thickBot="1">
      <c r="A40" s="533" t="s">
        <v>13</v>
      </c>
      <c r="B40" s="515">
        <f>'HWI Speciais'!B26*'HWI Speciais'!P1</f>
        <v>6.3910997895034312</v>
      </c>
      <c r="C40" s="515">
        <f>'HWI Speciais'!B26*'HWI Speciais'!P1</f>
        <v>6.3910997895034312</v>
      </c>
      <c r="D40" s="736"/>
      <c r="E40" s="533" t="s">
        <v>13</v>
      </c>
      <c r="F40" s="515">
        <f>'HWI Speciais'!B27*'HWI Speciais'!P1</f>
        <v>6.5889195448928239</v>
      </c>
      <c r="G40" s="515">
        <f>'HWI Speciais'!B27*'HWI Speciais'!P1</f>
        <v>6.5889195448928239</v>
      </c>
      <c r="H40" s="734"/>
      <c r="I40" s="734"/>
      <c r="J40" s="734"/>
      <c r="K40" s="751"/>
      <c r="M40" s="925" t="s">
        <v>337</v>
      </c>
      <c r="N40" s="926"/>
      <c r="O40" s="927"/>
      <c r="P40" s="762"/>
      <c r="Q40" s="762"/>
      <c r="R40" s="762"/>
    </row>
    <row r="41" spans="1:23" ht="15.75" customHeight="1" thickBot="1">
      <c r="A41" s="533" t="s">
        <v>135</v>
      </c>
      <c r="B41" s="515">
        <f>'HWI Speciais'!C26-('HWI Speciais'!P2*'HWI Speciais'!D26)</f>
        <v>94.754407997212667</v>
      </c>
      <c r="C41" s="515">
        <f>'HWI Speciais'!C26+('HWI Speciais'!P2*'HWI Speciais'!E26)</f>
        <v>96.688854381999832</v>
      </c>
      <c r="D41" s="736"/>
      <c r="E41" s="533" t="s">
        <v>135</v>
      </c>
      <c r="F41" s="515">
        <f>'HWI Speciais'!C27-('HWI Speciais'!P2*'HWI Speciais'!D27)</f>
        <v>100.5504567809252</v>
      </c>
      <c r="G41" s="515">
        <f>'HWI Speciais'!C27+('HWI Speciais'!P2*'HWI Speciais'!E27)</f>
        <v>102.93606797749979</v>
      </c>
      <c r="H41" s="734"/>
      <c r="I41" s="734"/>
      <c r="J41" s="734"/>
      <c r="K41" s="751"/>
      <c r="M41" s="564" t="s">
        <v>365</v>
      </c>
      <c r="N41" s="563" t="s">
        <v>344</v>
      </c>
      <c r="O41" s="789" t="s">
        <v>345</v>
      </c>
    </row>
    <row r="42" spans="1:23" ht="15.75" customHeight="1" thickBot="1">
      <c r="A42" s="534" t="s">
        <v>144</v>
      </c>
      <c r="B42" s="516">
        <f>INDEX(CB!D41:D113,(ROUNDUP(((B41-80)/(20/72))+1,0)),1)</f>
        <v>290.69999999999959</v>
      </c>
      <c r="C42" s="516">
        <f>INDEX(CB!D41:D113,(ROUNDUP(((C41-80)/(20/72))+1,0)),1)</f>
        <v>296.64999999999975</v>
      </c>
      <c r="D42" s="770"/>
      <c r="E42" s="534" t="s">
        <v>144</v>
      </c>
      <c r="F42" s="516" t="e">
        <f>INDEX(CB!D41:D113,(ROUNDUP(((F41-80)/(20/72))+1,0)),1)</f>
        <v>#REF!</v>
      </c>
      <c r="G42" s="516" t="e">
        <f>INDEX(CB!D41:D113,(ROUNDUP(((G41-80)/(20/72))+1,0)),1)</f>
        <v>#REF!</v>
      </c>
      <c r="H42" s="772"/>
      <c r="I42" s="751"/>
      <c r="J42" s="751"/>
      <c r="K42" s="751"/>
      <c r="M42" s="533" t="s">
        <v>13</v>
      </c>
      <c r="N42" s="515">
        <f>'HWI Speciais'!B50*'HWI Speciais'!P1</f>
        <v>7.034013994518955</v>
      </c>
      <c r="O42" s="515">
        <f>'HWI Speciais'!B50*'HWI Speciais'!P1</f>
        <v>7.034013994518955</v>
      </c>
    </row>
    <row r="43" spans="1:23" ht="15.75" customHeight="1" thickBot="1">
      <c r="M43" s="533" t="s">
        <v>135</v>
      </c>
      <c r="N43" s="515">
        <f>'HWI Speciais'!C50-('HWI Speciais'!P2*'HWI Speciais'!D50)</f>
        <v>103.43921066295022</v>
      </c>
      <c r="O43" s="515">
        <f>'HWI Speciais'!C50+('HWI Speciais'!P2*'HWI Speciais'!E50)</f>
        <v>105.93606797749979</v>
      </c>
    </row>
    <row r="44" spans="1:23" ht="15.75" customHeight="1" thickBot="1">
      <c r="A44" s="922" t="s">
        <v>403</v>
      </c>
      <c r="B44" s="923"/>
      <c r="C44" s="923"/>
      <c r="D44" s="923"/>
      <c r="E44" s="923"/>
      <c r="F44" s="923"/>
      <c r="G44" s="923"/>
      <c r="H44" s="923"/>
      <c r="I44" s="923"/>
      <c r="J44" s="923"/>
      <c r="K44" s="924"/>
      <c r="M44" s="534" t="s">
        <v>144</v>
      </c>
      <c r="N44" s="516" t="e">
        <f>INDEX(CB!D41:D113,(ROUNDUP(((N43-80)/(20/72))+1,0)),1)</f>
        <v>#REF!</v>
      </c>
      <c r="O44" s="516" t="e">
        <f>INDEX(CB!D41:D113,(ROUNDUP(((O43-80)/(20/72))+1,0)),1)</f>
        <v>#REF!</v>
      </c>
    </row>
    <row r="45" spans="1:23" ht="15.75" customHeight="1" thickBot="1">
      <c r="A45" s="787" t="s">
        <v>404</v>
      </c>
      <c r="B45" s="788" t="s">
        <v>344</v>
      </c>
      <c r="C45" s="788" t="s">
        <v>345</v>
      </c>
      <c r="D45" s="763"/>
      <c r="E45" s="729"/>
      <c r="F45" s="729"/>
      <c r="G45" s="729"/>
      <c r="H45" s="729"/>
      <c r="I45" s="729"/>
      <c r="J45" s="729"/>
      <c r="K45" s="729"/>
    </row>
    <row r="46" spans="1:23" ht="15.75" customHeight="1" thickBot="1">
      <c r="A46" s="533" t="s">
        <v>13</v>
      </c>
      <c r="B46" s="515">
        <f>'HWI Speciais'!B63*'HWI Speciais'!P1</f>
        <v>4.0705218897432571</v>
      </c>
      <c r="C46" s="515">
        <f>'HWI Speciais'!B63*'HWI Speciais'!P1</f>
        <v>4.0705218897432571</v>
      </c>
    </row>
    <row r="47" spans="1:23" ht="15.75" customHeight="1" thickBot="1">
      <c r="A47" s="533" t="s">
        <v>135</v>
      </c>
      <c r="B47" s="515">
        <f>'HWI Speciais'!C63-('HWI Speciais'!P2*'HWI Speciais'!D63)</f>
        <v>89.429179606750054</v>
      </c>
      <c r="C47" s="515">
        <f>'HWI Speciais'!C63+('HWI Speciais'!P2*'HWI Speciais'!E63)</f>
        <v>90.047213595499954</v>
      </c>
    </row>
    <row r="48" spans="1:23" ht="15.75" customHeight="1" thickBot="1">
      <c r="A48" s="534" t="s">
        <v>144</v>
      </c>
      <c r="B48" s="516">
        <f>INDEX(CB!C41:C113,(ROUNDUP(((B47-80)/(20/72))+1,0)),1)</f>
        <v>264.75555555555661</v>
      </c>
      <c r="C48" s="516">
        <f>INDEX(CB!C41:C113,(ROUNDUP(((C47-80)/(20/72))+1,0)),1)</f>
        <v>267.22222222222319</v>
      </c>
    </row>
  </sheetData>
  <mergeCells count="10">
    <mergeCell ref="A44:K44"/>
    <mergeCell ref="M40:O40"/>
    <mergeCell ref="A33:K33"/>
    <mergeCell ref="M28:W28"/>
    <mergeCell ref="M1:W1"/>
    <mergeCell ref="U17:W17"/>
    <mergeCell ref="M34:S34"/>
    <mergeCell ref="A1:K1"/>
    <mergeCell ref="A22:K22"/>
    <mergeCell ref="U34:W34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111"/>
  <sheetViews>
    <sheetView showGridLines="0" showRowColHeaders="0" workbookViewId="0">
      <selection activeCell="B3" sqref="B3"/>
    </sheetView>
  </sheetViews>
  <sheetFormatPr defaultRowHeight="12.75" customHeight="1"/>
  <cols>
    <col min="5" max="12" width="9.140625" customWidth="1"/>
  </cols>
  <sheetData>
    <row r="1" spans="1:8" ht="13.5" customHeight="1">
      <c r="A1" s="57">
        <v>280</v>
      </c>
      <c r="B1" s="57">
        <v>6</v>
      </c>
    </row>
    <row r="2" spans="1:8" ht="16.5" customHeight="1">
      <c r="A2" s="58"/>
      <c r="B2" s="60" t="s">
        <v>137</v>
      </c>
      <c r="C2" s="61" t="s">
        <v>138</v>
      </c>
      <c r="D2" s="60" t="s">
        <v>139</v>
      </c>
      <c r="E2" s="61" t="s">
        <v>140</v>
      </c>
      <c r="F2" s="60" t="s">
        <v>141</v>
      </c>
      <c r="G2" s="60" t="s">
        <v>143</v>
      </c>
      <c r="H2" s="61" t="s">
        <v>142</v>
      </c>
    </row>
    <row r="3" spans="1:8" ht="16.5" customHeight="1">
      <c r="A3" s="59">
        <v>0.7</v>
      </c>
      <c r="B3" s="60">
        <f t="shared" ref="B3:B34" si="0">IF(ROUND(B$111*A3,0)=ROUND(B$111*A2,0),CONCATENATE(ROUND(B$111*A3,0),"R"),IF(ROUND(B$111*A3,0)=ROUND(B$111*A4,0),CONCATENATE(ROUND(B$111*A3,0),"L"),ROUND(B$111*A3,0)))</f>
        <v>196</v>
      </c>
      <c r="C3" s="61">
        <f t="shared" ref="C3:C34" si="1">IF(ROUND(C$111*A3,0)=ROUND(C$111*A2,0),CONCATENATE(ROUND(C$111*A3,0),"R"),IF(ROUND(C$111*A3,0)=ROUND(C$111*A4,0),CONCATENATE(ROUND(C$111*A3,0),"L"),ROUND(C$111*A3,0)))</f>
        <v>207</v>
      </c>
      <c r="D3" s="60">
        <f t="shared" ref="D3:D34" si="2">IF(ROUND(D$111*A3,0)=ROUND(D$111*A2,0),CONCATENATE(ROUND(D$111*A3,0),"R"),IF(ROUND(D$111*A3,0)=ROUND(D$111*A4,0),CONCATENATE(ROUND(D$111*A3,0),"L"),ROUND(D$111*A3,0)))</f>
        <v>214</v>
      </c>
      <c r="E3" s="61">
        <f t="shared" ref="E3:E34" si="3">IF(ROUND(E$111*A3,0)=ROUND(E$111*A2,0),CONCATENATE(ROUND(E$111*A3,0),"R"),IF(ROUND(E$111*A3,0)=ROUND(E$111*A4,0),CONCATENATE(ROUND(E$111*A3,0),"L"),ROUND(E$111*A3,0)))</f>
        <v>182</v>
      </c>
      <c r="F3" s="60">
        <f t="shared" ref="F3:F34" si="4">IF(ROUND(F$111*A3,0)=ROUND(F$111*A2,0),CONCATENATE(ROUND(F$111*A3,0),"R"),IF(ROUND(F$111*A3,0)=ROUND(F$111*A4,0),CONCATENATE(ROUND(F$111*A3,0),"L"),ROUND(F$111*A3,0)))</f>
        <v>193</v>
      </c>
      <c r="G3" s="60">
        <f t="shared" ref="G3:G34" si="5">IF(ROUND(G$111*A3,0)=ROUND(G$111*A2,0),CONCATENATE(ROUND(G$111*A3,0),"R"),IF(ROUND(G$111*A3,0)=ROUND(G$111*A4,0),CONCATENATE(ROUND(G$111*A3,0),"L"),ROUND(G$111*A3,0)))</f>
        <v>168</v>
      </c>
      <c r="H3" s="61">
        <f t="shared" ref="H3:H34" si="6">IF(ROUND(H$111*A3,0)=ROUND(H$111*A2,0),CONCATENATE(ROUND(H$111*A3,0),"R"),IF(ROUND(H$111*A3,0)=ROUND(H$111*A4,0),CONCATENATE(ROUND(H$111*A3,0),"L"),ROUND(H$111*A3,0)))</f>
        <v>179</v>
      </c>
    </row>
    <row r="4" spans="1:8" ht="16.5" customHeight="1">
      <c r="A4" s="59">
        <f>A3+0.00277777777777777</f>
        <v>0.70277777777777772</v>
      </c>
      <c r="B4" s="60">
        <f t="shared" si="0"/>
        <v>197</v>
      </c>
      <c r="C4" s="61">
        <f t="shared" si="1"/>
        <v>208</v>
      </c>
      <c r="D4" s="60">
        <f t="shared" si="2"/>
        <v>215</v>
      </c>
      <c r="E4" s="61" t="str">
        <f t="shared" si="3"/>
        <v>183L</v>
      </c>
      <c r="F4" s="60">
        <f t="shared" si="4"/>
        <v>194</v>
      </c>
      <c r="G4" s="60" t="str">
        <f t="shared" si="5"/>
        <v>169L</v>
      </c>
      <c r="H4" s="61">
        <f t="shared" si="6"/>
        <v>180</v>
      </c>
    </row>
    <row r="5" spans="1:8" ht="16.5" customHeight="1">
      <c r="A5" s="59">
        <f t="shared" ref="A5:A68" si="7">A4+0.00277777777777777</f>
        <v>0.70555555555555549</v>
      </c>
      <c r="B5" s="60" t="str">
        <f t="shared" si="0"/>
        <v>198L</v>
      </c>
      <c r="C5" s="61">
        <f t="shared" si="1"/>
        <v>209</v>
      </c>
      <c r="D5" s="60">
        <f t="shared" si="2"/>
        <v>216</v>
      </c>
      <c r="E5" s="61" t="str">
        <f t="shared" si="3"/>
        <v>183R</v>
      </c>
      <c r="F5" s="60">
        <f t="shared" si="4"/>
        <v>195</v>
      </c>
      <c r="G5" s="60" t="str">
        <f t="shared" si="5"/>
        <v>169R</v>
      </c>
      <c r="H5" s="61" t="str">
        <f t="shared" si="6"/>
        <v>181L</v>
      </c>
    </row>
    <row r="6" spans="1:8" ht="16.5" customHeight="1">
      <c r="A6" s="59">
        <f t="shared" si="7"/>
        <v>0.70833333333333326</v>
      </c>
      <c r="B6" s="60" t="str">
        <f t="shared" si="0"/>
        <v>198R</v>
      </c>
      <c r="C6" s="61" t="str">
        <f t="shared" si="1"/>
        <v>210L</v>
      </c>
      <c r="D6" s="60">
        <f t="shared" si="2"/>
        <v>217</v>
      </c>
      <c r="E6" s="61">
        <f t="shared" si="3"/>
        <v>184</v>
      </c>
      <c r="F6" s="60" t="str">
        <f t="shared" si="4"/>
        <v>196L</v>
      </c>
      <c r="G6" s="60">
        <f t="shared" si="5"/>
        <v>170</v>
      </c>
      <c r="H6" s="61" t="str">
        <f t="shared" si="6"/>
        <v>181R</v>
      </c>
    </row>
    <row r="7" spans="1:8" ht="16.5" customHeight="1">
      <c r="A7" s="59">
        <f t="shared" si="7"/>
        <v>0.71111111111111103</v>
      </c>
      <c r="B7" s="60">
        <f t="shared" si="0"/>
        <v>199</v>
      </c>
      <c r="C7" s="61" t="str">
        <f t="shared" si="1"/>
        <v>210R</v>
      </c>
      <c r="D7" s="60" t="str">
        <f t="shared" si="2"/>
        <v>218L</v>
      </c>
      <c r="E7" s="61">
        <f t="shared" si="3"/>
        <v>185</v>
      </c>
      <c r="F7" s="60" t="str">
        <f t="shared" si="4"/>
        <v>196R</v>
      </c>
      <c r="G7" s="60" t="str">
        <f t="shared" si="5"/>
        <v>171L</v>
      </c>
      <c r="H7" s="61">
        <f t="shared" si="6"/>
        <v>182</v>
      </c>
    </row>
    <row r="8" spans="1:8" ht="16.5" customHeight="1">
      <c r="A8" s="59">
        <f t="shared" si="7"/>
        <v>0.7138888888888888</v>
      </c>
      <c r="B8" s="60">
        <f t="shared" si="0"/>
        <v>200</v>
      </c>
      <c r="C8" s="61">
        <f t="shared" si="1"/>
        <v>211</v>
      </c>
      <c r="D8" s="60" t="str">
        <f t="shared" si="2"/>
        <v>218R</v>
      </c>
      <c r="E8" s="61" t="str">
        <f t="shared" si="3"/>
        <v>186L</v>
      </c>
      <c r="F8" s="60">
        <f t="shared" si="4"/>
        <v>197</v>
      </c>
      <c r="G8" s="60" t="str">
        <f t="shared" si="5"/>
        <v>171R</v>
      </c>
      <c r="H8" s="61" t="str">
        <f t="shared" si="6"/>
        <v>183L</v>
      </c>
    </row>
    <row r="9" spans="1:8" ht="16.5" customHeight="1">
      <c r="A9" s="59">
        <f t="shared" si="7"/>
        <v>0.71666666666666656</v>
      </c>
      <c r="B9" s="60" t="str">
        <f t="shared" si="0"/>
        <v>201L</v>
      </c>
      <c r="C9" s="61">
        <f t="shared" si="1"/>
        <v>212</v>
      </c>
      <c r="D9" s="60">
        <f t="shared" si="2"/>
        <v>219</v>
      </c>
      <c r="E9" s="61" t="str">
        <f t="shared" si="3"/>
        <v>186R</v>
      </c>
      <c r="F9" s="60">
        <f t="shared" si="4"/>
        <v>198</v>
      </c>
      <c r="G9" s="60">
        <f t="shared" si="5"/>
        <v>172</v>
      </c>
      <c r="H9" s="61" t="str">
        <f t="shared" si="6"/>
        <v>183R</v>
      </c>
    </row>
    <row r="10" spans="1:8" ht="16.5" customHeight="1">
      <c r="A10" s="59">
        <f t="shared" si="7"/>
        <v>0.71944444444444433</v>
      </c>
      <c r="B10" s="60" t="str">
        <f t="shared" si="0"/>
        <v>201R</v>
      </c>
      <c r="C10" s="61">
        <f t="shared" si="1"/>
        <v>213</v>
      </c>
      <c r="D10" s="60">
        <f t="shared" si="2"/>
        <v>220</v>
      </c>
      <c r="E10" s="61">
        <f t="shared" si="3"/>
        <v>187</v>
      </c>
      <c r="F10" s="60" t="str">
        <f t="shared" si="4"/>
        <v>199L</v>
      </c>
      <c r="G10" s="60" t="str">
        <f t="shared" si="5"/>
        <v>173L</v>
      </c>
      <c r="H10" s="61">
        <f t="shared" si="6"/>
        <v>184</v>
      </c>
    </row>
    <row r="11" spans="1:8" ht="16.5" customHeight="1">
      <c r="A11" s="59">
        <f t="shared" si="7"/>
        <v>0.7222222222222221</v>
      </c>
      <c r="B11" s="60">
        <f t="shared" si="0"/>
        <v>202</v>
      </c>
      <c r="C11" s="61">
        <f t="shared" si="1"/>
        <v>214</v>
      </c>
      <c r="D11" s="60">
        <f t="shared" si="2"/>
        <v>221</v>
      </c>
      <c r="E11" s="61">
        <f t="shared" si="3"/>
        <v>188</v>
      </c>
      <c r="F11" s="60" t="str">
        <f t="shared" si="4"/>
        <v>199R</v>
      </c>
      <c r="G11" s="60" t="str">
        <f t="shared" si="5"/>
        <v>173R</v>
      </c>
      <c r="H11" s="61">
        <f t="shared" si="6"/>
        <v>185</v>
      </c>
    </row>
    <row r="12" spans="1:8" ht="16.5" customHeight="1">
      <c r="A12" s="59">
        <f t="shared" si="7"/>
        <v>0.72499999999999987</v>
      </c>
      <c r="B12" s="60">
        <f t="shared" si="0"/>
        <v>203</v>
      </c>
      <c r="C12" s="61" t="str">
        <f t="shared" si="1"/>
        <v>215L</v>
      </c>
      <c r="D12" s="60">
        <f t="shared" si="2"/>
        <v>222</v>
      </c>
      <c r="E12" s="61" t="str">
        <f t="shared" si="3"/>
        <v>189L</v>
      </c>
      <c r="F12" s="60">
        <f t="shared" si="4"/>
        <v>200</v>
      </c>
      <c r="G12" s="60">
        <f t="shared" si="5"/>
        <v>174</v>
      </c>
      <c r="H12" s="61" t="str">
        <f t="shared" si="6"/>
        <v>186L</v>
      </c>
    </row>
    <row r="13" spans="1:8" ht="16.5" customHeight="1">
      <c r="A13" s="59">
        <f t="shared" si="7"/>
        <v>0.72777777777777763</v>
      </c>
      <c r="B13" s="60">
        <f t="shared" si="0"/>
        <v>204</v>
      </c>
      <c r="C13" s="61" t="str">
        <f t="shared" si="1"/>
        <v>215R</v>
      </c>
      <c r="D13" s="60">
        <f t="shared" si="2"/>
        <v>223</v>
      </c>
      <c r="E13" s="61" t="str">
        <f t="shared" si="3"/>
        <v>189R</v>
      </c>
      <c r="F13" s="60">
        <f t="shared" si="4"/>
        <v>201</v>
      </c>
      <c r="G13" s="60" t="str">
        <f t="shared" si="5"/>
        <v>175L</v>
      </c>
      <c r="H13" s="61" t="str">
        <f t="shared" si="6"/>
        <v>186R</v>
      </c>
    </row>
    <row r="14" spans="1:8" ht="16.5" customHeight="1">
      <c r="A14" s="59">
        <f t="shared" si="7"/>
        <v>0.7305555555555554</v>
      </c>
      <c r="B14" s="60" t="str">
        <f t="shared" si="0"/>
        <v>205L</v>
      </c>
      <c r="C14" s="61">
        <f t="shared" si="1"/>
        <v>216</v>
      </c>
      <c r="D14" s="60" t="str">
        <f t="shared" si="2"/>
        <v>224L</v>
      </c>
      <c r="E14" s="61">
        <f t="shared" si="3"/>
        <v>190</v>
      </c>
      <c r="F14" s="60" t="str">
        <f t="shared" si="4"/>
        <v>202L</v>
      </c>
      <c r="G14" s="60" t="str">
        <f t="shared" si="5"/>
        <v>175R</v>
      </c>
      <c r="H14" s="61">
        <f t="shared" si="6"/>
        <v>187</v>
      </c>
    </row>
    <row r="15" spans="1:8" ht="16.5" customHeight="1">
      <c r="A15" s="59">
        <f t="shared" si="7"/>
        <v>0.73333333333333317</v>
      </c>
      <c r="B15" s="60" t="str">
        <f t="shared" si="0"/>
        <v>205R</v>
      </c>
      <c r="C15" s="61">
        <f t="shared" si="1"/>
        <v>217</v>
      </c>
      <c r="D15" s="60" t="str">
        <f t="shared" si="2"/>
        <v>224R</v>
      </c>
      <c r="E15" s="61" t="str">
        <f t="shared" si="3"/>
        <v>191L</v>
      </c>
      <c r="F15" s="60" t="str">
        <f t="shared" si="4"/>
        <v>202R</v>
      </c>
      <c r="G15" s="60">
        <f t="shared" si="5"/>
        <v>176</v>
      </c>
      <c r="H15" s="61" t="str">
        <f t="shared" si="6"/>
        <v>188L</v>
      </c>
    </row>
    <row r="16" spans="1:8" ht="16.5" customHeight="1">
      <c r="A16" s="59">
        <f t="shared" si="7"/>
        <v>0.73611111111111094</v>
      </c>
      <c r="B16" s="60">
        <f t="shared" si="0"/>
        <v>206</v>
      </c>
      <c r="C16" s="61">
        <f t="shared" si="1"/>
        <v>218</v>
      </c>
      <c r="D16" s="60">
        <f t="shared" si="2"/>
        <v>225</v>
      </c>
      <c r="E16" s="61" t="str">
        <f t="shared" si="3"/>
        <v>191R</v>
      </c>
      <c r="F16" s="60">
        <f t="shared" si="4"/>
        <v>203</v>
      </c>
      <c r="G16" s="60" t="str">
        <f t="shared" si="5"/>
        <v>177L</v>
      </c>
      <c r="H16" s="61" t="str">
        <f t="shared" si="6"/>
        <v>188R</v>
      </c>
    </row>
    <row r="17" spans="1:8" ht="16.5" customHeight="1">
      <c r="A17" s="59">
        <f t="shared" si="7"/>
        <v>0.73888888888888871</v>
      </c>
      <c r="B17" s="60">
        <f t="shared" si="0"/>
        <v>207</v>
      </c>
      <c r="C17" s="61">
        <f t="shared" si="1"/>
        <v>219</v>
      </c>
      <c r="D17" s="60">
        <f t="shared" si="2"/>
        <v>226</v>
      </c>
      <c r="E17" s="61">
        <f t="shared" si="3"/>
        <v>192</v>
      </c>
      <c r="F17" s="60">
        <f t="shared" si="4"/>
        <v>204</v>
      </c>
      <c r="G17" s="60" t="str">
        <f t="shared" si="5"/>
        <v>177R</v>
      </c>
      <c r="H17" s="61">
        <f t="shared" si="6"/>
        <v>189</v>
      </c>
    </row>
    <row r="18" spans="1:8" ht="16.5" customHeight="1">
      <c r="A18" s="59">
        <f t="shared" si="7"/>
        <v>0.74166666666666647</v>
      </c>
      <c r="B18" s="60" t="str">
        <f t="shared" si="0"/>
        <v>208L</v>
      </c>
      <c r="C18" s="61" t="str">
        <f t="shared" si="1"/>
        <v>220L</v>
      </c>
      <c r="D18" s="60">
        <f t="shared" si="2"/>
        <v>227</v>
      </c>
      <c r="E18" s="61">
        <f t="shared" si="3"/>
        <v>193</v>
      </c>
      <c r="F18" s="60" t="str">
        <f t="shared" si="4"/>
        <v>205L</v>
      </c>
      <c r="G18" s="60">
        <f t="shared" si="5"/>
        <v>178</v>
      </c>
      <c r="H18" s="61">
        <f t="shared" si="6"/>
        <v>190</v>
      </c>
    </row>
    <row r="19" spans="1:8" ht="16.5" customHeight="1">
      <c r="A19" s="59">
        <f t="shared" si="7"/>
        <v>0.74444444444444424</v>
      </c>
      <c r="B19" s="60" t="str">
        <f t="shared" si="0"/>
        <v>208R</v>
      </c>
      <c r="C19" s="61" t="str">
        <f t="shared" si="1"/>
        <v>220R</v>
      </c>
      <c r="D19" s="60">
        <f t="shared" si="2"/>
        <v>228</v>
      </c>
      <c r="E19" s="61" t="str">
        <f t="shared" si="3"/>
        <v>194L</v>
      </c>
      <c r="F19" s="60" t="str">
        <f t="shared" si="4"/>
        <v>205R</v>
      </c>
      <c r="G19" s="60" t="str">
        <f t="shared" si="5"/>
        <v>179L</v>
      </c>
      <c r="H19" s="61" t="str">
        <f t="shared" si="6"/>
        <v>191L</v>
      </c>
    </row>
    <row r="20" spans="1:8" ht="16.5" customHeight="1">
      <c r="A20" s="59">
        <f t="shared" si="7"/>
        <v>0.74722222222222201</v>
      </c>
      <c r="B20" s="60">
        <f t="shared" si="0"/>
        <v>209</v>
      </c>
      <c r="C20" s="61">
        <f t="shared" si="1"/>
        <v>221</v>
      </c>
      <c r="D20" s="60">
        <f t="shared" si="2"/>
        <v>229</v>
      </c>
      <c r="E20" s="61" t="str">
        <f t="shared" si="3"/>
        <v>194R</v>
      </c>
      <c r="F20" s="60">
        <f t="shared" si="4"/>
        <v>206</v>
      </c>
      <c r="G20" s="60" t="str">
        <f t="shared" si="5"/>
        <v>179R</v>
      </c>
      <c r="H20" s="61" t="str">
        <f t="shared" si="6"/>
        <v>191R</v>
      </c>
    </row>
    <row r="21" spans="1:8" ht="16.5" customHeight="1">
      <c r="A21" s="59">
        <f t="shared" si="7"/>
        <v>0.74999999999999978</v>
      </c>
      <c r="B21" s="60">
        <f t="shared" si="0"/>
        <v>210</v>
      </c>
      <c r="C21" s="61">
        <f t="shared" si="1"/>
        <v>222</v>
      </c>
      <c r="D21" s="60" t="str">
        <f t="shared" si="2"/>
        <v>230L</v>
      </c>
      <c r="E21" s="61">
        <f t="shared" si="3"/>
        <v>195</v>
      </c>
      <c r="F21" s="60">
        <f t="shared" si="4"/>
        <v>207</v>
      </c>
      <c r="G21" s="60">
        <f t="shared" si="5"/>
        <v>180</v>
      </c>
      <c r="H21" s="61">
        <f t="shared" si="6"/>
        <v>192</v>
      </c>
    </row>
    <row r="22" spans="1:8" ht="16.5" customHeight="1">
      <c r="A22" s="59">
        <f t="shared" si="7"/>
        <v>0.75277777777777755</v>
      </c>
      <c r="B22" s="60">
        <f t="shared" si="0"/>
        <v>211</v>
      </c>
      <c r="C22" s="61">
        <f t="shared" si="1"/>
        <v>223</v>
      </c>
      <c r="D22" s="60" t="str">
        <f t="shared" si="2"/>
        <v>230R</v>
      </c>
      <c r="E22" s="61" t="str">
        <f t="shared" si="3"/>
        <v>196L</v>
      </c>
      <c r="F22" s="60">
        <f t="shared" si="4"/>
        <v>208</v>
      </c>
      <c r="G22" s="60" t="str">
        <f t="shared" si="5"/>
        <v>181L</v>
      </c>
      <c r="H22" s="61" t="str">
        <f t="shared" si="6"/>
        <v>193L</v>
      </c>
    </row>
    <row r="23" spans="1:8" ht="16.5" customHeight="1">
      <c r="A23" s="59">
        <f t="shared" si="7"/>
        <v>0.75555555555555531</v>
      </c>
      <c r="B23" s="60" t="str">
        <f t="shared" si="0"/>
        <v>212L</v>
      </c>
      <c r="C23" s="61" t="str">
        <f t="shared" si="1"/>
        <v>224L</v>
      </c>
      <c r="D23" s="60">
        <f t="shared" si="2"/>
        <v>231</v>
      </c>
      <c r="E23" s="61" t="str">
        <f t="shared" si="3"/>
        <v>196R</v>
      </c>
      <c r="F23" s="60" t="str">
        <f t="shared" si="4"/>
        <v>209L</v>
      </c>
      <c r="G23" s="60" t="str">
        <f t="shared" si="5"/>
        <v>181R</v>
      </c>
      <c r="H23" s="61" t="str">
        <f t="shared" si="6"/>
        <v>193R</v>
      </c>
    </row>
    <row r="24" spans="1:8" ht="16.5" customHeight="1">
      <c r="A24" s="59">
        <f t="shared" si="7"/>
        <v>0.75833333333333308</v>
      </c>
      <c r="B24" s="60" t="str">
        <f t="shared" si="0"/>
        <v>212R</v>
      </c>
      <c r="C24" s="61" t="str">
        <f t="shared" si="1"/>
        <v>224R</v>
      </c>
      <c r="D24" s="60">
        <f t="shared" si="2"/>
        <v>232</v>
      </c>
      <c r="E24" s="61">
        <f t="shared" si="3"/>
        <v>197</v>
      </c>
      <c r="F24" s="60" t="str">
        <f t="shared" si="4"/>
        <v>209R</v>
      </c>
      <c r="G24" s="60">
        <f t="shared" si="5"/>
        <v>182</v>
      </c>
      <c r="H24" s="61">
        <f t="shared" si="6"/>
        <v>194</v>
      </c>
    </row>
    <row r="25" spans="1:8" ht="16.5" customHeight="1">
      <c r="A25" s="59">
        <f t="shared" si="7"/>
        <v>0.76111111111111085</v>
      </c>
      <c r="B25" s="60">
        <f t="shared" si="0"/>
        <v>213</v>
      </c>
      <c r="C25" s="61">
        <f t="shared" si="1"/>
        <v>225</v>
      </c>
      <c r="D25" s="60">
        <f t="shared" si="2"/>
        <v>233</v>
      </c>
      <c r="E25" s="61">
        <f t="shared" si="3"/>
        <v>198</v>
      </c>
      <c r="F25" s="60">
        <f t="shared" si="4"/>
        <v>210</v>
      </c>
      <c r="G25" s="60" t="str">
        <f t="shared" si="5"/>
        <v>183L</v>
      </c>
      <c r="H25" s="61">
        <f t="shared" si="6"/>
        <v>195</v>
      </c>
    </row>
    <row r="26" spans="1:8" ht="16.5" customHeight="1">
      <c r="A26" s="59">
        <f t="shared" si="7"/>
        <v>0.76388888888888862</v>
      </c>
      <c r="B26" s="60">
        <f t="shared" si="0"/>
        <v>214</v>
      </c>
      <c r="C26" s="61">
        <f t="shared" si="1"/>
        <v>226</v>
      </c>
      <c r="D26" s="60">
        <f t="shared" si="2"/>
        <v>234</v>
      </c>
      <c r="E26" s="61" t="str">
        <f t="shared" si="3"/>
        <v>199L</v>
      </c>
      <c r="F26" s="60">
        <f t="shared" si="4"/>
        <v>211</v>
      </c>
      <c r="G26" s="60" t="str">
        <f t="shared" si="5"/>
        <v>183R</v>
      </c>
      <c r="H26" s="61" t="str">
        <f t="shared" si="6"/>
        <v>196L</v>
      </c>
    </row>
    <row r="27" spans="1:8" ht="16.5" customHeight="1">
      <c r="A27" s="59">
        <f t="shared" si="7"/>
        <v>0.76666666666666639</v>
      </c>
      <c r="B27" s="60" t="str">
        <f t="shared" si="0"/>
        <v>215L</v>
      </c>
      <c r="C27" s="61">
        <f t="shared" si="1"/>
        <v>227</v>
      </c>
      <c r="D27" s="60" t="str">
        <f t="shared" si="2"/>
        <v>235L</v>
      </c>
      <c r="E27" s="61" t="str">
        <f t="shared" si="3"/>
        <v>199R</v>
      </c>
      <c r="F27" s="60" t="str">
        <f t="shared" si="4"/>
        <v>212L</v>
      </c>
      <c r="G27" s="60">
        <f t="shared" si="5"/>
        <v>184</v>
      </c>
      <c r="H27" s="61" t="str">
        <f t="shared" si="6"/>
        <v>196R</v>
      </c>
    </row>
    <row r="28" spans="1:8" ht="16.5" customHeight="1">
      <c r="A28" s="59">
        <f t="shared" si="7"/>
        <v>0.76944444444444415</v>
      </c>
      <c r="B28" s="60" t="str">
        <f t="shared" si="0"/>
        <v>215R</v>
      </c>
      <c r="C28" s="61">
        <f t="shared" si="1"/>
        <v>228</v>
      </c>
      <c r="D28" s="60" t="str">
        <f t="shared" si="2"/>
        <v>235R</v>
      </c>
      <c r="E28" s="61">
        <f t="shared" si="3"/>
        <v>200</v>
      </c>
      <c r="F28" s="60" t="str">
        <f t="shared" si="4"/>
        <v>212R</v>
      </c>
      <c r="G28" s="60" t="str">
        <f t="shared" si="5"/>
        <v>185L</v>
      </c>
      <c r="H28" s="61">
        <f t="shared" si="6"/>
        <v>197</v>
      </c>
    </row>
    <row r="29" spans="1:8" ht="16.5" customHeight="1">
      <c r="A29" s="59">
        <f t="shared" si="7"/>
        <v>0.77222222222222192</v>
      </c>
      <c r="B29" s="60">
        <f t="shared" si="0"/>
        <v>216</v>
      </c>
      <c r="C29" s="61" t="str">
        <f t="shared" si="1"/>
        <v>229L</v>
      </c>
      <c r="D29" s="60">
        <f t="shared" si="2"/>
        <v>236</v>
      </c>
      <c r="E29" s="61">
        <f t="shared" si="3"/>
        <v>201</v>
      </c>
      <c r="F29" s="60">
        <f t="shared" si="4"/>
        <v>213</v>
      </c>
      <c r="G29" s="60" t="str">
        <f t="shared" si="5"/>
        <v>185R</v>
      </c>
      <c r="H29" s="61" t="str">
        <f t="shared" si="6"/>
        <v>198L</v>
      </c>
    </row>
    <row r="30" spans="1:8" ht="16.5" customHeight="1">
      <c r="A30" s="59">
        <f t="shared" si="7"/>
        <v>0.77499999999999969</v>
      </c>
      <c r="B30" s="60">
        <f t="shared" si="0"/>
        <v>217</v>
      </c>
      <c r="C30" s="61" t="str">
        <f t="shared" si="1"/>
        <v>229R</v>
      </c>
      <c r="D30" s="60">
        <f t="shared" si="2"/>
        <v>237</v>
      </c>
      <c r="E30" s="61" t="str">
        <f t="shared" si="3"/>
        <v>202L</v>
      </c>
      <c r="F30" s="60">
        <f t="shared" si="4"/>
        <v>214</v>
      </c>
      <c r="G30" s="60">
        <f t="shared" si="5"/>
        <v>186</v>
      </c>
      <c r="H30" s="61" t="str">
        <f t="shared" si="6"/>
        <v>198R</v>
      </c>
    </row>
    <row r="31" spans="1:8" ht="16.5" customHeight="1">
      <c r="A31" s="59">
        <f t="shared" si="7"/>
        <v>0.77777777777777746</v>
      </c>
      <c r="B31" s="60">
        <f t="shared" si="0"/>
        <v>218</v>
      </c>
      <c r="C31" s="61">
        <f t="shared" si="1"/>
        <v>230</v>
      </c>
      <c r="D31" s="60">
        <f t="shared" si="2"/>
        <v>238</v>
      </c>
      <c r="E31" s="61" t="str">
        <f t="shared" si="3"/>
        <v>202R</v>
      </c>
      <c r="F31" s="60" t="str">
        <f t="shared" si="4"/>
        <v>215L</v>
      </c>
      <c r="G31" s="60" t="str">
        <f t="shared" si="5"/>
        <v>187L</v>
      </c>
      <c r="H31" s="61">
        <f t="shared" si="6"/>
        <v>199</v>
      </c>
    </row>
    <row r="32" spans="1:8" ht="16.5" customHeight="1">
      <c r="A32" s="59">
        <f t="shared" si="7"/>
        <v>0.78055555555555522</v>
      </c>
      <c r="B32" s="60" t="str">
        <f t="shared" si="0"/>
        <v>219L</v>
      </c>
      <c r="C32" s="61">
        <f t="shared" si="1"/>
        <v>231</v>
      </c>
      <c r="D32" s="60">
        <f t="shared" si="2"/>
        <v>239</v>
      </c>
      <c r="E32" s="61">
        <f t="shared" si="3"/>
        <v>203</v>
      </c>
      <c r="F32" s="60" t="str">
        <f t="shared" si="4"/>
        <v>215R</v>
      </c>
      <c r="G32" s="60" t="str">
        <f t="shared" si="5"/>
        <v>187R</v>
      </c>
      <c r="H32" s="61">
        <f t="shared" si="6"/>
        <v>200</v>
      </c>
    </row>
    <row r="33" spans="1:9" ht="16.5" customHeight="1">
      <c r="A33" s="59">
        <f t="shared" si="7"/>
        <v>0.78333333333333299</v>
      </c>
      <c r="B33" s="60" t="str">
        <f t="shared" si="0"/>
        <v>219R</v>
      </c>
      <c r="C33" s="61">
        <f t="shared" si="1"/>
        <v>232</v>
      </c>
      <c r="D33" s="60">
        <f t="shared" si="2"/>
        <v>240</v>
      </c>
      <c r="E33" s="61" t="str">
        <f t="shared" si="3"/>
        <v>204L</v>
      </c>
      <c r="F33" s="60">
        <f t="shared" si="4"/>
        <v>216</v>
      </c>
      <c r="G33" s="60">
        <f t="shared" si="5"/>
        <v>188</v>
      </c>
      <c r="H33" s="61" t="str">
        <f t="shared" si="6"/>
        <v>201L</v>
      </c>
    </row>
    <row r="34" spans="1:9" ht="16.5" customHeight="1">
      <c r="A34" s="59">
        <f t="shared" si="7"/>
        <v>0.78611111111111076</v>
      </c>
      <c r="B34" s="60">
        <f t="shared" si="0"/>
        <v>220</v>
      </c>
      <c r="C34" s="61">
        <f t="shared" si="1"/>
        <v>233</v>
      </c>
      <c r="D34" s="60" t="str">
        <f t="shared" si="2"/>
        <v>241L</v>
      </c>
      <c r="E34" s="61" t="str">
        <f t="shared" si="3"/>
        <v>204R</v>
      </c>
      <c r="F34" s="60">
        <f t="shared" si="4"/>
        <v>217</v>
      </c>
      <c r="G34" s="60" t="str">
        <f t="shared" si="5"/>
        <v>189L</v>
      </c>
      <c r="H34" s="61" t="str">
        <f t="shared" si="6"/>
        <v>201R</v>
      </c>
    </row>
    <row r="35" spans="1:9" ht="16.5" customHeight="1">
      <c r="A35" s="59">
        <f t="shared" si="7"/>
        <v>0.78888888888888853</v>
      </c>
      <c r="B35" s="60">
        <f t="shared" ref="B35:B66" si="8">IF(ROUND(B$111*A35,0)=ROUND(B$111*A34,0),CONCATENATE(ROUND(B$111*A35,0),"R"),IF(ROUND(B$111*A35,0)=ROUND(B$111*A36,0),CONCATENATE(ROUND(B$111*A35,0),"L"),ROUND(B$111*A35,0)))</f>
        <v>221</v>
      </c>
      <c r="C35" s="61" t="str">
        <f t="shared" ref="C35:C66" si="9">IF(ROUND(C$111*A35,0)=ROUND(C$111*A34,0),CONCATENATE(ROUND(C$111*A35,0),"R"),IF(ROUND(C$111*A35,0)=ROUND(C$111*A36,0),CONCATENATE(ROUND(C$111*A35,0),"L"),ROUND(C$111*A35,0)))</f>
        <v>234L</v>
      </c>
      <c r="D35" s="60" t="str">
        <f t="shared" ref="D35:D66" si="10">IF(ROUND(D$111*A35,0)=ROUND(D$111*A34,0),CONCATENATE(ROUND(D$111*A35,0),"R"),IF(ROUND(D$111*A35,0)=ROUND(D$111*A36,0),CONCATENATE(ROUND(D$111*A35,0),"L"),ROUND(D$111*A35,0)))</f>
        <v>241R</v>
      </c>
      <c r="E35" s="61">
        <f t="shared" ref="E35:E66" si="11">IF(ROUND(E$111*A35,0)=ROUND(E$111*A34,0),CONCATENATE(ROUND(E$111*A35,0),"R"),IF(ROUND(E$111*A35,0)=ROUND(E$111*A36,0),CONCATENATE(ROUND(E$111*A35,0),"L"),ROUND(E$111*A35,0)))</f>
        <v>205</v>
      </c>
      <c r="F35" s="60">
        <f t="shared" ref="F35:F66" si="12">IF(ROUND(F$111*A35,0)=ROUND(F$111*A34,0),CONCATENATE(ROUND(F$111*A35,0),"R"),IF(ROUND(F$111*A35,0)=ROUND(F$111*A36,0),CONCATENATE(ROUND(F$111*A35,0),"L"),ROUND(F$111*A35,0)))</f>
        <v>218</v>
      </c>
      <c r="G35" s="60" t="str">
        <f t="shared" ref="G35:G66" si="13">IF(ROUND(G$111*A35,0)=ROUND(G$111*A34,0),CONCATENATE(ROUND(G$111*A35,0),"R"),IF(ROUND(G$111*A35,0)=ROUND(G$111*A36,0),CONCATENATE(ROUND(G$111*A35,0),"L"),ROUND(G$111*A35,0)))</f>
        <v>189R</v>
      </c>
      <c r="H35" s="61">
        <f t="shared" ref="H35:H66" si="14">IF(ROUND(H$111*A35,0)=ROUND(H$111*A34,0),CONCATENATE(ROUND(H$111*A35,0),"R"),IF(ROUND(H$111*A35,0)=ROUND(H$111*A36,0),CONCATENATE(ROUND(H$111*A35,0),"L"),ROUND(H$111*A35,0)))</f>
        <v>202</v>
      </c>
    </row>
    <row r="36" spans="1:9" ht="16.5" customHeight="1">
      <c r="A36" s="59">
        <f t="shared" si="7"/>
        <v>0.7916666666666663</v>
      </c>
      <c r="B36" s="60" t="str">
        <f t="shared" si="8"/>
        <v>222L</v>
      </c>
      <c r="C36" s="61" t="str">
        <f t="shared" si="9"/>
        <v>234R</v>
      </c>
      <c r="D36" s="60">
        <f t="shared" si="10"/>
        <v>242</v>
      </c>
      <c r="E36" s="61">
        <f t="shared" si="11"/>
        <v>206</v>
      </c>
      <c r="F36" s="60" t="str">
        <f t="shared" si="12"/>
        <v>219L</v>
      </c>
      <c r="G36" s="60">
        <f t="shared" si="13"/>
        <v>190</v>
      </c>
      <c r="H36" s="61" t="str">
        <f t="shared" si="14"/>
        <v>203L</v>
      </c>
    </row>
    <row r="37" spans="1:9" ht="16.5" customHeight="1">
      <c r="A37" s="59">
        <f t="shared" si="7"/>
        <v>0.79444444444444406</v>
      </c>
      <c r="B37" s="60" t="str">
        <f t="shared" si="8"/>
        <v>222R</v>
      </c>
      <c r="C37" s="61">
        <f t="shared" si="9"/>
        <v>235</v>
      </c>
      <c r="D37" s="60">
        <f t="shared" si="10"/>
        <v>243</v>
      </c>
      <c r="E37" s="61" t="str">
        <f t="shared" si="11"/>
        <v>207L</v>
      </c>
      <c r="F37" s="60" t="str">
        <f t="shared" si="12"/>
        <v>219R</v>
      </c>
      <c r="G37" s="60" t="str">
        <f t="shared" si="13"/>
        <v>191L</v>
      </c>
      <c r="H37" s="61" t="str">
        <f t="shared" si="14"/>
        <v>203R</v>
      </c>
    </row>
    <row r="38" spans="1:9" ht="16.5" customHeight="1">
      <c r="A38" s="59">
        <f t="shared" si="7"/>
        <v>0.79722222222222183</v>
      </c>
      <c r="B38" s="60">
        <f t="shared" si="8"/>
        <v>223</v>
      </c>
      <c r="C38" s="61">
        <f t="shared" si="9"/>
        <v>236</v>
      </c>
      <c r="D38" s="60">
        <f t="shared" si="10"/>
        <v>244</v>
      </c>
      <c r="E38" s="61" t="str">
        <f t="shared" si="11"/>
        <v>207R</v>
      </c>
      <c r="F38" s="60">
        <f t="shared" si="12"/>
        <v>220</v>
      </c>
      <c r="G38" s="60" t="str">
        <f t="shared" si="13"/>
        <v>191R</v>
      </c>
      <c r="H38" s="61">
        <f t="shared" si="14"/>
        <v>204</v>
      </c>
      <c r="I38" s="73" t="s">
        <v>123</v>
      </c>
    </row>
    <row r="39" spans="1:9" ht="16.5" customHeight="1">
      <c r="A39" s="59">
        <f t="shared" si="7"/>
        <v>0.7999999999999996</v>
      </c>
      <c r="B39" s="60">
        <f t="shared" si="8"/>
        <v>224</v>
      </c>
      <c r="C39" s="61">
        <f t="shared" si="9"/>
        <v>237</v>
      </c>
      <c r="D39" s="60">
        <f t="shared" si="10"/>
        <v>245</v>
      </c>
      <c r="E39" s="61">
        <f t="shared" si="11"/>
        <v>208</v>
      </c>
      <c r="F39" s="60">
        <f t="shared" si="12"/>
        <v>221</v>
      </c>
      <c r="G39" s="60">
        <f t="shared" si="13"/>
        <v>192</v>
      </c>
      <c r="H39" s="61">
        <f t="shared" si="14"/>
        <v>205</v>
      </c>
      <c r="I39" s="74">
        <v>160</v>
      </c>
    </row>
    <row r="40" spans="1:9" ht="16.5" customHeight="1">
      <c r="A40" s="59">
        <f t="shared" si="7"/>
        <v>0.80277777777777737</v>
      </c>
      <c r="B40" s="60">
        <f t="shared" si="8"/>
        <v>225</v>
      </c>
      <c r="C40" s="61" t="str">
        <f t="shared" si="9"/>
        <v>238L</v>
      </c>
      <c r="D40" s="60">
        <f t="shared" si="10"/>
        <v>246</v>
      </c>
      <c r="E40" s="61" t="str">
        <f t="shared" si="11"/>
        <v>209L</v>
      </c>
      <c r="F40" s="60" t="str">
        <f t="shared" si="12"/>
        <v>222L</v>
      </c>
      <c r="G40" s="60" t="str">
        <f t="shared" si="13"/>
        <v>193L</v>
      </c>
      <c r="H40" s="61" t="str">
        <f t="shared" si="14"/>
        <v>206L</v>
      </c>
      <c r="I40" s="74" t="s">
        <v>59</v>
      </c>
    </row>
    <row r="41" spans="1:9" ht="16.5" customHeight="1">
      <c r="A41" s="59">
        <f t="shared" si="7"/>
        <v>0.80555555555555514</v>
      </c>
      <c r="B41" s="60" t="str">
        <f t="shared" si="8"/>
        <v>226L</v>
      </c>
      <c r="C41" s="61" t="str">
        <f t="shared" si="9"/>
        <v>238R</v>
      </c>
      <c r="D41" s="60" t="str">
        <f t="shared" si="10"/>
        <v>247L</v>
      </c>
      <c r="E41" s="61" t="str">
        <f t="shared" si="11"/>
        <v>209R</v>
      </c>
      <c r="F41" s="60" t="str">
        <f t="shared" si="12"/>
        <v>222R</v>
      </c>
      <c r="G41" s="60" t="str">
        <f t="shared" si="13"/>
        <v>193R</v>
      </c>
      <c r="H41" s="61" t="str">
        <f t="shared" si="14"/>
        <v>206R</v>
      </c>
      <c r="I41" s="74" t="s">
        <v>60</v>
      </c>
    </row>
    <row r="42" spans="1:9" ht="16.5" customHeight="1">
      <c r="A42" s="59">
        <f t="shared" si="7"/>
        <v>0.8083333333333329</v>
      </c>
      <c r="B42" s="60" t="str">
        <f t="shared" si="8"/>
        <v>226R</v>
      </c>
      <c r="C42" s="61">
        <f t="shared" si="9"/>
        <v>239</v>
      </c>
      <c r="D42" s="60" t="str">
        <f t="shared" si="10"/>
        <v>247R</v>
      </c>
      <c r="E42" s="61">
        <f t="shared" si="11"/>
        <v>210</v>
      </c>
      <c r="F42" s="60">
        <f t="shared" si="12"/>
        <v>223</v>
      </c>
      <c r="G42" s="60">
        <f t="shared" si="13"/>
        <v>194</v>
      </c>
      <c r="H42" s="61">
        <f t="shared" si="14"/>
        <v>207</v>
      </c>
      <c r="I42" s="74" t="s">
        <v>61</v>
      </c>
    </row>
    <row r="43" spans="1:9" ht="16.5" customHeight="1">
      <c r="A43" s="59">
        <f t="shared" si="7"/>
        <v>0.81111111111111067</v>
      </c>
      <c r="B43" s="60">
        <f t="shared" si="8"/>
        <v>227</v>
      </c>
      <c r="C43" s="61">
        <f t="shared" si="9"/>
        <v>240</v>
      </c>
      <c r="D43" s="60">
        <f t="shared" si="10"/>
        <v>248</v>
      </c>
      <c r="E43" s="61">
        <f t="shared" si="11"/>
        <v>211</v>
      </c>
      <c r="F43" s="60">
        <f t="shared" si="12"/>
        <v>224</v>
      </c>
      <c r="G43" s="60" t="str">
        <f t="shared" si="13"/>
        <v>195L</v>
      </c>
      <c r="H43" s="61" t="str">
        <f t="shared" si="14"/>
        <v>208L</v>
      </c>
      <c r="I43" s="74" t="s">
        <v>62</v>
      </c>
    </row>
    <row r="44" spans="1:9" ht="16.5" customHeight="1">
      <c r="A44" s="59">
        <f t="shared" si="7"/>
        <v>0.81388888888888844</v>
      </c>
      <c r="B44" s="60">
        <f t="shared" si="8"/>
        <v>228</v>
      </c>
      <c r="C44" s="61">
        <f t="shared" si="9"/>
        <v>241</v>
      </c>
      <c r="D44" s="60">
        <f t="shared" si="10"/>
        <v>249</v>
      </c>
      <c r="E44" s="61" t="str">
        <f t="shared" si="11"/>
        <v>212L</v>
      </c>
      <c r="F44" s="60" t="str">
        <f t="shared" si="12"/>
        <v>225L</v>
      </c>
      <c r="G44" s="60" t="str">
        <f t="shared" si="13"/>
        <v>195R</v>
      </c>
      <c r="H44" s="61" t="str">
        <f t="shared" si="14"/>
        <v>208R</v>
      </c>
      <c r="I44" s="74" t="s">
        <v>63</v>
      </c>
    </row>
    <row r="45" spans="1:9" ht="16.5" customHeight="1">
      <c r="A45" s="59">
        <f t="shared" si="7"/>
        <v>0.81666666666666621</v>
      </c>
      <c r="B45" s="60" t="str">
        <f t="shared" si="8"/>
        <v>229L</v>
      </c>
      <c r="C45" s="61">
        <f t="shared" si="9"/>
        <v>242</v>
      </c>
      <c r="D45" s="60">
        <f t="shared" si="10"/>
        <v>250</v>
      </c>
      <c r="E45" s="61" t="str">
        <f t="shared" si="11"/>
        <v>212R</v>
      </c>
      <c r="F45" s="60" t="str">
        <f t="shared" si="12"/>
        <v>225R</v>
      </c>
      <c r="G45" s="60">
        <f t="shared" si="13"/>
        <v>196</v>
      </c>
      <c r="H45" s="61">
        <f t="shared" si="14"/>
        <v>209</v>
      </c>
      <c r="I45" s="74" t="s">
        <v>64</v>
      </c>
    </row>
    <row r="46" spans="1:9" ht="16.5" customHeight="1">
      <c r="A46" s="59">
        <f t="shared" si="7"/>
        <v>0.81944444444444398</v>
      </c>
      <c r="B46" s="60" t="str">
        <f t="shared" si="8"/>
        <v>229R</v>
      </c>
      <c r="C46" s="61" t="str">
        <f t="shared" si="9"/>
        <v>243L</v>
      </c>
      <c r="D46" s="60">
        <f t="shared" si="10"/>
        <v>251</v>
      </c>
      <c r="E46" s="61">
        <f t="shared" si="11"/>
        <v>213</v>
      </c>
      <c r="F46" s="60">
        <f t="shared" si="12"/>
        <v>226</v>
      </c>
      <c r="G46" s="60" t="str">
        <f t="shared" si="13"/>
        <v>197L</v>
      </c>
      <c r="H46" s="61" t="str">
        <f t="shared" si="14"/>
        <v>210L</v>
      </c>
      <c r="I46" s="74" t="s">
        <v>65</v>
      </c>
    </row>
    <row r="47" spans="1:9" ht="16.5" customHeight="1">
      <c r="A47" s="59">
        <f t="shared" si="7"/>
        <v>0.82222222222222174</v>
      </c>
      <c r="B47" s="60">
        <f t="shared" si="8"/>
        <v>230</v>
      </c>
      <c r="C47" s="61" t="str">
        <f t="shared" si="9"/>
        <v>243R</v>
      </c>
      <c r="D47" s="60" t="str">
        <f t="shared" si="10"/>
        <v>252L</v>
      </c>
      <c r="E47" s="61">
        <f t="shared" si="11"/>
        <v>214</v>
      </c>
      <c r="F47" s="60">
        <f t="shared" si="12"/>
        <v>227</v>
      </c>
      <c r="G47" s="60" t="str">
        <f t="shared" si="13"/>
        <v>197R</v>
      </c>
      <c r="H47" s="61" t="str">
        <f t="shared" si="14"/>
        <v>210R</v>
      </c>
      <c r="I47" s="74" t="s">
        <v>66</v>
      </c>
    </row>
    <row r="48" spans="1:9" ht="16.5" customHeight="1">
      <c r="A48" s="59">
        <f t="shared" si="7"/>
        <v>0.82499999999999951</v>
      </c>
      <c r="B48" s="60">
        <f t="shared" si="8"/>
        <v>231</v>
      </c>
      <c r="C48" s="61">
        <f t="shared" si="9"/>
        <v>244</v>
      </c>
      <c r="D48" s="60" t="str">
        <f t="shared" si="10"/>
        <v>252R</v>
      </c>
      <c r="E48" s="61" t="str">
        <f t="shared" si="11"/>
        <v>215L</v>
      </c>
      <c r="F48" s="60" t="str">
        <f t="shared" si="12"/>
        <v>228L</v>
      </c>
      <c r="G48" s="60">
        <f t="shared" si="13"/>
        <v>198</v>
      </c>
      <c r="H48" s="61">
        <f t="shared" si="14"/>
        <v>211</v>
      </c>
      <c r="I48" s="74">
        <v>165</v>
      </c>
    </row>
    <row r="49" spans="1:9" ht="16.5" customHeight="1">
      <c r="A49" s="59">
        <f t="shared" si="7"/>
        <v>0.82777777777777728</v>
      </c>
      <c r="B49" s="60">
        <f t="shared" si="8"/>
        <v>232</v>
      </c>
      <c r="C49" s="61">
        <f t="shared" si="9"/>
        <v>245</v>
      </c>
      <c r="D49" s="60">
        <f t="shared" si="10"/>
        <v>253</v>
      </c>
      <c r="E49" s="61" t="str">
        <f t="shared" si="11"/>
        <v>215R</v>
      </c>
      <c r="F49" s="60" t="str">
        <f t="shared" si="12"/>
        <v>228R</v>
      </c>
      <c r="G49" s="60" t="str">
        <f t="shared" si="13"/>
        <v>199L</v>
      </c>
      <c r="H49" s="61">
        <f t="shared" si="14"/>
        <v>212</v>
      </c>
      <c r="I49" s="74" t="s">
        <v>67</v>
      </c>
    </row>
    <row r="50" spans="1:9" ht="16.5" customHeight="1">
      <c r="A50" s="59">
        <f t="shared" si="7"/>
        <v>0.83055555555555505</v>
      </c>
      <c r="B50" s="60" t="str">
        <f t="shared" si="8"/>
        <v>233L</v>
      </c>
      <c r="C50" s="61">
        <f t="shared" si="9"/>
        <v>246</v>
      </c>
      <c r="D50" s="60">
        <f t="shared" si="10"/>
        <v>254</v>
      </c>
      <c r="E50" s="61">
        <f t="shared" si="11"/>
        <v>216</v>
      </c>
      <c r="F50" s="60">
        <f t="shared" si="12"/>
        <v>229</v>
      </c>
      <c r="G50" s="60" t="str">
        <f t="shared" si="13"/>
        <v>199R</v>
      </c>
      <c r="H50" s="61" t="str">
        <f t="shared" si="14"/>
        <v>213L</v>
      </c>
      <c r="I50" s="74" t="s">
        <v>68</v>
      </c>
    </row>
    <row r="51" spans="1:9" ht="16.5" customHeight="1">
      <c r="A51" s="59">
        <f t="shared" si="7"/>
        <v>0.83333333333333282</v>
      </c>
      <c r="B51" s="60" t="str">
        <f t="shared" si="8"/>
        <v>233R</v>
      </c>
      <c r="C51" s="61" t="str">
        <f t="shared" si="9"/>
        <v>247L</v>
      </c>
      <c r="D51" s="60">
        <f t="shared" si="10"/>
        <v>255</v>
      </c>
      <c r="E51" s="61" t="str">
        <f t="shared" si="11"/>
        <v>217L</v>
      </c>
      <c r="F51" s="60">
        <f t="shared" si="12"/>
        <v>230</v>
      </c>
      <c r="G51" s="60">
        <f t="shared" si="13"/>
        <v>200</v>
      </c>
      <c r="H51" s="61" t="str">
        <f t="shared" si="14"/>
        <v>213R</v>
      </c>
      <c r="I51" s="74" t="s">
        <v>69</v>
      </c>
    </row>
    <row r="52" spans="1:9" ht="16.5" customHeight="1">
      <c r="A52" s="59">
        <f t="shared" si="7"/>
        <v>0.83611111111111058</v>
      </c>
      <c r="B52" s="60">
        <f t="shared" si="8"/>
        <v>234</v>
      </c>
      <c r="C52" s="61" t="str">
        <f t="shared" si="9"/>
        <v>247R</v>
      </c>
      <c r="D52" s="60">
        <f t="shared" si="10"/>
        <v>256</v>
      </c>
      <c r="E52" s="61" t="str">
        <f t="shared" si="11"/>
        <v>217R</v>
      </c>
      <c r="F52" s="60">
        <f t="shared" si="12"/>
        <v>231</v>
      </c>
      <c r="G52" s="60" t="str">
        <f t="shared" si="13"/>
        <v>201L</v>
      </c>
      <c r="H52" s="61">
        <f t="shared" si="14"/>
        <v>214</v>
      </c>
      <c r="I52" s="74" t="s">
        <v>70</v>
      </c>
    </row>
    <row r="53" spans="1:9" ht="16.5" customHeight="1">
      <c r="A53" s="59">
        <f t="shared" si="7"/>
        <v>0.83888888888888835</v>
      </c>
      <c r="B53" s="60">
        <f t="shared" si="8"/>
        <v>235</v>
      </c>
      <c r="C53" s="61">
        <f t="shared" si="9"/>
        <v>248</v>
      </c>
      <c r="D53" s="60">
        <f t="shared" si="10"/>
        <v>257</v>
      </c>
      <c r="E53" s="61">
        <f t="shared" si="11"/>
        <v>218</v>
      </c>
      <c r="F53" s="60" t="str">
        <f t="shared" si="12"/>
        <v>232L</v>
      </c>
      <c r="G53" s="60" t="str">
        <f t="shared" si="13"/>
        <v>201R</v>
      </c>
      <c r="H53" s="61" t="str">
        <f t="shared" si="14"/>
        <v>215L</v>
      </c>
      <c r="I53" s="74" t="s">
        <v>71</v>
      </c>
    </row>
    <row r="54" spans="1:9" ht="16.5" customHeight="1">
      <c r="A54" s="59">
        <f t="shared" si="7"/>
        <v>0.84166666666666612</v>
      </c>
      <c r="B54" s="60" t="str">
        <f t="shared" si="8"/>
        <v>236L</v>
      </c>
      <c r="C54" s="61">
        <f t="shared" si="9"/>
        <v>249</v>
      </c>
      <c r="D54" s="60" t="str">
        <f t="shared" si="10"/>
        <v>258L</v>
      </c>
      <c r="E54" s="61">
        <f t="shared" si="11"/>
        <v>219</v>
      </c>
      <c r="F54" s="60" t="str">
        <f t="shared" si="12"/>
        <v>232R</v>
      </c>
      <c r="G54" s="60">
        <f t="shared" si="13"/>
        <v>202</v>
      </c>
      <c r="H54" s="61" t="str">
        <f t="shared" si="14"/>
        <v>215R</v>
      </c>
      <c r="I54" s="74" t="s">
        <v>72</v>
      </c>
    </row>
    <row r="55" spans="1:9" ht="16.5" customHeight="1">
      <c r="A55" s="59">
        <f t="shared" si="7"/>
        <v>0.84444444444444389</v>
      </c>
      <c r="B55" s="60" t="str">
        <f t="shared" si="8"/>
        <v>236R</v>
      </c>
      <c r="C55" s="61">
        <f t="shared" si="9"/>
        <v>250</v>
      </c>
      <c r="D55" s="60" t="str">
        <f t="shared" si="10"/>
        <v>258R</v>
      </c>
      <c r="E55" s="61" t="str">
        <f t="shared" si="11"/>
        <v>220L</v>
      </c>
      <c r="F55" s="60">
        <f t="shared" si="12"/>
        <v>233</v>
      </c>
      <c r="G55" s="60" t="str">
        <f t="shared" si="13"/>
        <v>203L</v>
      </c>
      <c r="H55" s="61">
        <f t="shared" si="14"/>
        <v>216</v>
      </c>
      <c r="I55" s="74" t="s">
        <v>73</v>
      </c>
    </row>
    <row r="56" spans="1:9" ht="16.5" customHeight="1">
      <c r="A56" s="59">
        <f t="shared" si="7"/>
        <v>0.84722222222222165</v>
      </c>
      <c r="B56" s="60">
        <f t="shared" si="8"/>
        <v>237</v>
      </c>
      <c r="C56" s="61">
        <f t="shared" si="9"/>
        <v>251</v>
      </c>
      <c r="D56" s="60">
        <f t="shared" si="10"/>
        <v>259</v>
      </c>
      <c r="E56" s="61" t="str">
        <f t="shared" si="11"/>
        <v>220R</v>
      </c>
      <c r="F56" s="60">
        <f t="shared" si="12"/>
        <v>234</v>
      </c>
      <c r="G56" s="60" t="str">
        <f t="shared" si="13"/>
        <v>203R</v>
      </c>
      <c r="H56" s="61">
        <f t="shared" si="14"/>
        <v>217</v>
      </c>
      <c r="I56" s="74" t="s">
        <v>74</v>
      </c>
    </row>
    <row r="57" spans="1:9" ht="16.5" customHeight="1">
      <c r="A57" s="59">
        <f t="shared" si="7"/>
        <v>0.84999999999999942</v>
      </c>
      <c r="B57" s="60">
        <f t="shared" si="8"/>
        <v>238</v>
      </c>
      <c r="C57" s="61" t="str">
        <f t="shared" si="9"/>
        <v>252L</v>
      </c>
      <c r="D57" s="60">
        <f t="shared" si="10"/>
        <v>260</v>
      </c>
      <c r="E57" s="61">
        <f t="shared" si="11"/>
        <v>221</v>
      </c>
      <c r="F57" s="60" t="str">
        <f t="shared" si="12"/>
        <v>235L</v>
      </c>
      <c r="G57" s="60">
        <f t="shared" si="13"/>
        <v>204</v>
      </c>
      <c r="H57" s="61" t="str">
        <f t="shared" si="14"/>
        <v>218L</v>
      </c>
      <c r="I57" s="74">
        <v>170</v>
      </c>
    </row>
    <row r="58" spans="1:9" ht="16.5" customHeight="1">
      <c r="A58" s="59">
        <f t="shared" si="7"/>
        <v>0.85277777777777719</v>
      </c>
      <c r="B58" s="60">
        <f t="shared" si="8"/>
        <v>239</v>
      </c>
      <c r="C58" s="61" t="str">
        <f t="shared" si="9"/>
        <v>252R</v>
      </c>
      <c r="D58" s="60">
        <f t="shared" si="10"/>
        <v>261</v>
      </c>
      <c r="E58" s="61" t="str">
        <f t="shared" si="11"/>
        <v>222L</v>
      </c>
      <c r="F58" s="60" t="str">
        <f t="shared" si="12"/>
        <v>235R</v>
      </c>
      <c r="G58" s="60" t="str">
        <f t="shared" si="13"/>
        <v>205L</v>
      </c>
      <c r="H58" s="61" t="str">
        <f t="shared" si="14"/>
        <v>218R</v>
      </c>
      <c r="I58" s="74" t="s">
        <v>75</v>
      </c>
    </row>
    <row r="59" spans="1:9" ht="16.5" customHeight="1">
      <c r="A59" s="59">
        <f t="shared" si="7"/>
        <v>0.85555555555555496</v>
      </c>
      <c r="B59" s="60" t="str">
        <f t="shared" si="8"/>
        <v>240L</v>
      </c>
      <c r="C59" s="61">
        <f t="shared" si="9"/>
        <v>253</v>
      </c>
      <c r="D59" s="60">
        <f t="shared" si="10"/>
        <v>262</v>
      </c>
      <c r="E59" s="61" t="str">
        <f t="shared" si="11"/>
        <v>222R</v>
      </c>
      <c r="F59" s="60">
        <f t="shared" si="12"/>
        <v>236</v>
      </c>
      <c r="G59" s="60" t="str">
        <f t="shared" si="13"/>
        <v>205R</v>
      </c>
      <c r="H59" s="61">
        <f t="shared" si="14"/>
        <v>219</v>
      </c>
      <c r="I59" s="74" t="s">
        <v>76</v>
      </c>
    </row>
    <row r="60" spans="1:9" ht="16.5" customHeight="1">
      <c r="A60" s="59">
        <f t="shared" si="7"/>
        <v>0.85833333333333273</v>
      </c>
      <c r="B60" s="60" t="str">
        <f t="shared" si="8"/>
        <v>240R</v>
      </c>
      <c r="C60" s="61">
        <f t="shared" si="9"/>
        <v>254</v>
      </c>
      <c r="D60" s="60">
        <f t="shared" si="10"/>
        <v>263</v>
      </c>
      <c r="E60" s="61">
        <f t="shared" si="11"/>
        <v>223</v>
      </c>
      <c r="F60" s="60">
        <f t="shared" si="12"/>
        <v>237</v>
      </c>
      <c r="G60" s="60">
        <f t="shared" si="13"/>
        <v>206</v>
      </c>
      <c r="H60" s="61" t="str">
        <f t="shared" si="14"/>
        <v>220L</v>
      </c>
      <c r="I60" s="74" t="s">
        <v>77</v>
      </c>
    </row>
    <row r="61" spans="1:9" ht="16.5" customHeight="1">
      <c r="A61" s="59">
        <f t="shared" si="7"/>
        <v>0.86111111111111049</v>
      </c>
      <c r="B61" s="60">
        <f t="shared" si="8"/>
        <v>241</v>
      </c>
      <c r="C61" s="61">
        <f t="shared" si="9"/>
        <v>255</v>
      </c>
      <c r="D61" s="60" t="str">
        <f t="shared" si="10"/>
        <v>264L</v>
      </c>
      <c r="E61" s="61">
        <f t="shared" si="11"/>
        <v>224</v>
      </c>
      <c r="F61" s="60" t="str">
        <f t="shared" si="12"/>
        <v>238L</v>
      </c>
      <c r="G61" s="60" t="str">
        <f t="shared" si="13"/>
        <v>207L</v>
      </c>
      <c r="H61" s="61" t="str">
        <f t="shared" si="14"/>
        <v>220R</v>
      </c>
      <c r="I61" s="74" t="s">
        <v>78</v>
      </c>
    </row>
    <row r="62" spans="1:9" ht="16.5" customHeight="1">
      <c r="A62" s="59">
        <f t="shared" si="7"/>
        <v>0.86388888888888826</v>
      </c>
      <c r="B62" s="60">
        <f t="shared" si="8"/>
        <v>242</v>
      </c>
      <c r="C62" s="61">
        <f t="shared" si="9"/>
        <v>256</v>
      </c>
      <c r="D62" s="60" t="str">
        <f t="shared" si="10"/>
        <v>264R</v>
      </c>
      <c r="E62" s="61" t="str">
        <f t="shared" si="11"/>
        <v>225L</v>
      </c>
      <c r="F62" s="60" t="str">
        <f t="shared" si="12"/>
        <v>238R</v>
      </c>
      <c r="G62" s="60" t="str">
        <f t="shared" si="13"/>
        <v>207R</v>
      </c>
      <c r="H62" s="61">
        <f t="shared" si="14"/>
        <v>221</v>
      </c>
      <c r="I62" s="74" t="s">
        <v>79</v>
      </c>
    </row>
    <row r="63" spans="1:9" ht="16.5" customHeight="1">
      <c r="A63" s="59">
        <f t="shared" si="7"/>
        <v>0.86666666666666603</v>
      </c>
      <c r="B63" s="60" t="str">
        <f t="shared" si="8"/>
        <v>243L</v>
      </c>
      <c r="C63" s="61" t="str">
        <f t="shared" si="9"/>
        <v>257L</v>
      </c>
      <c r="D63" s="60">
        <f t="shared" si="10"/>
        <v>265</v>
      </c>
      <c r="E63" s="61" t="str">
        <f t="shared" si="11"/>
        <v>225R</v>
      </c>
      <c r="F63" s="60">
        <f t="shared" si="12"/>
        <v>239</v>
      </c>
      <c r="G63" s="60">
        <f t="shared" si="13"/>
        <v>208</v>
      </c>
      <c r="H63" s="61">
        <f t="shared" si="14"/>
        <v>222</v>
      </c>
      <c r="I63" s="74" t="s">
        <v>80</v>
      </c>
    </row>
    <row r="64" spans="1:9" ht="16.5" customHeight="1">
      <c r="A64" s="59">
        <f t="shared" si="7"/>
        <v>0.8694444444444438</v>
      </c>
      <c r="B64" s="60" t="str">
        <f t="shared" si="8"/>
        <v>243R</v>
      </c>
      <c r="C64" s="61" t="str">
        <f t="shared" si="9"/>
        <v>257R</v>
      </c>
      <c r="D64" s="60">
        <f t="shared" si="10"/>
        <v>266</v>
      </c>
      <c r="E64" s="61">
        <f t="shared" si="11"/>
        <v>226</v>
      </c>
      <c r="F64" s="60">
        <f t="shared" si="12"/>
        <v>240</v>
      </c>
      <c r="G64" s="60" t="str">
        <f t="shared" si="13"/>
        <v>209L</v>
      </c>
      <c r="H64" s="61" t="str">
        <f t="shared" si="14"/>
        <v>223L</v>
      </c>
      <c r="I64" s="74" t="s">
        <v>81</v>
      </c>
    </row>
    <row r="65" spans="1:9" ht="16.5" customHeight="1">
      <c r="A65" s="59">
        <f t="shared" si="7"/>
        <v>0.87222222222222157</v>
      </c>
      <c r="B65" s="60">
        <f t="shared" si="8"/>
        <v>244</v>
      </c>
      <c r="C65" s="61">
        <f t="shared" si="9"/>
        <v>258</v>
      </c>
      <c r="D65" s="60">
        <f t="shared" si="10"/>
        <v>267</v>
      </c>
      <c r="E65" s="61">
        <f t="shared" si="11"/>
        <v>227</v>
      </c>
      <c r="F65" s="60">
        <f t="shared" si="12"/>
        <v>241</v>
      </c>
      <c r="G65" s="60" t="str">
        <f t="shared" si="13"/>
        <v>209R</v>
      </c>
      <c r="H65" s="61" t="str">
        <f t="shared" si="14"/>
        <v>223R</v>
      </c>
      <c r="I65" s="74" t="s">
        <v>82</v>
      </c>
    </row>
    <row r="66" spans="1:9" ht="16.5" customHeight="1">
      <c r="A66" s="59">
        <f t="shared" si="7"/>
        <v>0.87499999999999933</v>
      </c>
      <c r="B66" s="60">
        <f t="shared" si="8"/>
        <v>245</v>
      </c>
      <c r="C66" s="61">
        <f t="shared" si="9"/>
        <v>259</v>
      </c>
      <c r="D66" s="60">
        <f t="shared" si="10"/>
        <v>268</v>
      </c>
      <c r="E66" s="61" t="str">
        <f t="shared" si="11"/>
        <v>228L</v>
      </c>
      <c r="F66" s="60" t="str">
        <f t="shared" si="12"/>
        <v>242L</v>
      </c>
      <c r="G66" s="60">
        <f t="shared" si="13"/>
        <v>210</v>
      </c>
      <c r="H66" s="61">
        <f t="shared" si="14"/>
        <v>224</v>
      </c>
      <c r="I66" s="74">
        <v>175</v>
      </c>
    </row>
    <row r="67" spans="1:9" ht="16.5" customHeight="1">
      <c r="A67" s="59">
        <f t="shared" si="7"/>
        <v>0.8777777777777771</v>
      </c>
      <c r="B67" s="60">
        <f t="shared" ref="B67:B98" si="15">IF(ROUND(B$111*A67,0)=ROUND(B$111*A66,0),CONCATENATE(ROUND(B$111*A67,0),"R"),IF(ROUND(B$111*A67,0)=ROUND(B$111*A68,0),CONCATENATE(ROUND(B$111*A67,0),"L"),ROUND(B$111*A67,0)))</f>
        <v>246</v>
      </c>
      <c r="C67" s="61">
        <f t="shared" ref="C67:C98" si="16">IF(ROUND(C$111*A67,0)=ROUND(C$111*A66,0),CONCATENATE(ROUND(C$111*A67,0),"R"),IF(ROUND(C$111*A67,0)=ROUND(C$111*A68,0),CONCATENATE(ROUND(C$111*A67,0),"L"),ROUND(C$111*A67,0)))</f>
        <v>260</v>
      </c>
      <c r="D67" s="60" t="str">
        <f t="shared" ref="D67:D98" si="17">IF(ROUND(D$111*A67,0)=ROUND(D$111*A66,0),CONCATENATE(ROUND(D$111*A67,0),"R"),IF(ROUND(D$111*A67,0)=ROUND(D$111*A68,0),CONCATENATE(ROUND(D$111*A67,0),"L"),ROUND(D$111*A67,0)))</f>
        <v>269L</v>
      </c>
      <c r="E67" s="61" t="str">
        <f t="shared" ref="E67:E98" si="18">IF(ROUND(E$111*A67,0)=ROUND(E$111*A66,0),CONCATENATE(ROUND(E$111*A67,0),"R"),IF(ROUND(E$111*A67,0)=ROUND(E$111*A68,0),CONCATENATE(ROUND(E$111*A67,0),"L"),ROUND(E$111*A67,0)))</f>
        <v>228R</v>
      </c>
      <c r="F67" s="60" t="str">
        <f t="shared" ref="F67:F98" si="19">IF(ROUND(F$111*A67,0)=ROUND(F$111*A66,0),CONCATENATE(ROUND(F$111*A67,0),"R"),IF(ROUND(F$111*A67,0)=ROUND(F$111*A68,0),CONCATENATE(ROUND(F$111*A67,0),"L"),ROUND(F$111*A67,0)))</f>
        <v>242R</v>
      </c>
      <c r="G67" s="60" t="str">
        <f t="shared" ref="G67:G98" si="20">IF(ROUND(G$111*A67,0)=ROUND(G$111*A66,0),CONCATENATE(ROUND(G$111*A67,0),"R"),IF(ROUND(G$111*A67,0)=ROUND(G$111*A68,0),CONCATENATE(ROUND(G$111*A67,0),"L"),ROUND(G$111*A67,0)))</f>
        <v>211L</v>
      </c>
      <c r="H67" s="61" t="str">
        <f t="shared" ref="H67:H98" si="21">IF(ROUND(H$111*A67,0)=ROUND(H$111*A66,0),CONCATENATE(ROUND(H$111*A67,0),"R"),IF(ROUND(H$111*A67,0)=ROUND(H$111*A68,0),CONCATENATE(ROUND(H$111*A67,0),"L"),ROUND(H$111*A67,0)))</f>
        <v>225L</v>
      </c>
      <c r="I67" s="74" t="s">
        <v>83</v>
      </c>
    </row>
    <row r="68" spans="1:9" ht="16.5" customHeight="1">
      <c r="A68" s="59">
        <f t="shared" si="7"/>
        <v>0.88055555555555487</v>
      </c>
      <c r="B68" s="60" t="str">
        <f t="shared" si="15"/>
        <v>247L</v>
      </c>
      <c r="C68" s="61" t="str">
        <f t="shared" si="16"/>
        <v>261L</v>
      </c>
      <c r="D68" s="60" t="str">
        <f t="shared" si="17"/>
        <v>269R</v>
      </c>
      <c r="E68" s="61">
        <f t="shared" si="18"/>
        <v>229</v>
      </c>
      <c r="F68" s="60">
        <f t="shared" si="19"/>
        <v>243</v>
      </c>
      <c r="G68" s="60" t="str">
        <f t="shared" si="20"/>
        <v>211R</v>
      </c>
      <c r="H68" s="61" t="str">
        <f t="shared" si="21"/>
        <v>225R</v>
      </c>
      <c r="I68" s="74" t="s">
        <v>84</v>
      </c>
    </row>
    <row r="69" spans="1:9" ht="16.5" customHeight="1">
      <c r="A69" s="59">
        <f t="shared" ref="A69:A111" si="22">A68+0.00277777777777777</f>
        <v>0.88333333333333264</v>
      </c>
      <c r="B69" s="60" t="str">
        <f t="shared" si="15"/>
        <v>247R</v>
      </c>
      <c r="C69" s="61" t="str">
        <f t="shared" si="16"/>
        <v>261R</v>
      </c>
      <c r="D69" s="60">
        <f t="shared" si="17"/>
        <v>270</v>
      </c>
      <c r="E69" s="61" t="str">
        <f t="shared" si="18"/>
        <v>230L</v>
      </c>
      <c r="F69" s="60">
        <f t="shared" si="19"/>
        <v>244</v>
      </c>
      <c r="G69" s="60">
        <f t="shared" si="20"/>
        <v>212</v>
      </c>
      <c r="H69" s="61">
        <f t="shared" si="21"/>
        <v>226</v>
      </c>
      <c r="I69" s="74" t="s">
        <v>85</v>
      </c>
    </row>
    <row r="70" spans="1:9" ht="16.5" customHeight="1">
      <c r="A70" s="59">
        <f t="shared" si="22"/>
        <v>0.88611111111111041</v>
      </c>
      <c r="B70" s="60">
        <f t="shared" si="15"/>
        <v>248</v>
      </c>
      <c r="C70" s="61">
        <f t="shared" si="16"/>
        <v>262</v>
      </c>
      <c r="D70" s="60">
        <f t="shared" si="17"/>
        <v>271</v>
      </c>
      <c r="E70" s="61" t="str">
        <f t="shared" si="18"/>
        <v>230R</v>
      </c>
      <c r="F70" s="60" t="str">
        <f t="shared" si="19"/>
        <v>245L</v>
      </c>
      <c r="G70" s="60" t="str">
        <f t="shared" si="20"/>
        <v>213L</v>
      </c>
      <c r="H70" s="61">
        <f t="shared" si="21"/>
        <v>227</v>
      </c>
      <c r="I70" s="74" t="s">
        <v>86</v>
      </c>
    </row>
    <row r="71" spans="1:9" ht="16.5" customHeight="1">
      <c r="A71" s="59">
        <f t="shared" si="22"/>
        <v>0.88888888888888817</v>
      </c>
      <c r="B71" s="60">
        <f t="shared" si="15"/>
        <v>249</v>
      </c>
      <c r="C71" s="61">
        <f t="shared" si="16"/>
        <v>263</v>
      </c>
      <c r="D71" s="60">
        <f t="shared" si="17"/>
        <v>272</v>
      </c>
      <c r="E71" s="61">
        <f t="shared" si="18"/>
        <v>231</v>
      </c>
      <c r="F71" s="60" t="str">
        <f t="shared" si="19"/>
        <v>245R</v>
      </c>
      <c r="G71" s="60" t="str">
        <f t="shared" si="20"/>
        <v>213R</v>
      </c>
      <c r="H71" s="61" t="str">
        <f t="shared" si="21"/>
        <v>228L</v>
      </c>
      <c r="I71" s="74" t="s">
        <v>87</v>
      </c>
    </row>
    <row r="72" spans="1:9" ht="16.5" customHeight="1">
      <c r="A72" s="59">
        <f t="shared" si="22"/>
        <v>0.89166666666666594</v>
      </c>
      <c r="B72" s="60" t="str">
        <f t="shared" si="15"/>
        <v>250L</v>
      </c>
      <c r="C72" s="61">
        <f t="shared" si="16"/>
        <v>264</v>
      </c>
      <c r="D72" s="60">
        <f t="shared" si="17"/>
        <v>273</v>
      </c>
      <c r="E72" s="61">
        <f t="shared" si="18"/>
        <v>232</v>
      </c>
      <c r="F72" s="60">
        <f t="shared" si="19"/>
        <v>246</v>
      </c>
      <c r="G72" s="60">
        <f t="shared" si="20"/>
        <v>214</v>
      </c>
      <c r="H72" s="61" t="str">
        <f t="shared" si="21"/>
        <v>228R</v>
      </c>
      <c r="I72" s="74" t="s">
        <v>88</v>
      </c>
    </row>
    <row r="73" spans="1:9" ht="16.5" customHeight="1">
      <c r="A73" s="59">
        <f t="shared" si="22"/>
        <v>0.89444444444444371</v>
      </c>
      <c r="B73" s="60" t="str">
        <f t="shared" si="15"/>
        <v>250R</v>
      </c>
      <c r="C73" s="61">
        <f t="shared" si="16"/>
        <v>265</v>
      </c>
      <c r="D73" s="60">
        <f t="shared" si="17"/>
        <v>274</v>
      </c>
      <c r="E73" s="61" t="str">
        <f t="shared" si="18"/>
        <v>233L</v>
      </c>
      <c r="F73" s="60">
        <f t="shared" si="19"/>
        <v>247</v>
      </c>
      <c r="G73" s="60" t="str">
        <f t="shared" si="20"/>
        <v>215L</v>
      </c>
      <c r="H73" s="61">
        <f t="shared" si="21"/>
        <v>229</v>
      </c>
      <c r="I73" s="74" t="s">
        <v>89</v>
      </c>
    </row>
    <row r="74" spans="1:9" ht="16.5" customHeight="1">
      <c r="A74" s="59">
        <f t="shared" si="22"/>
        <v>0.89722222222222148</v>
      </c>
      <c r="B74" s="60">
        <f t="shared" si="15"/>
        <v>251</v>
      </c>
      <c r="C74" s="61" t="str">
        <f t="shared" si="16"/>
        <v>266L</v>
      </c>
      <c r="D74" s="60" t="str">
        <f t="shared" si="17"/>
        <v>275L</v>
      </c>
      <c r="E74" s="61" t="str">
        <f t="shared" si="18"/>
        <v>233R</v>
      </c>
      <c r="F74" s="60" t="str">
        <f t="shared" si="19"/>
        <v>248L</v>
      </c>
      <c r="G74" s="60" t="str">
        <f t="shared" si="20"/>
        <v>215R</v>
      </c>
      <c r="H74" s="61" t="str">
        <f t="shared" si="21"/>
        <v>230L</v>
      </c>
      <c r="I74" s="74" t="s">
        <v>90</v>
      </c>
    </row>
    <row r="75" spans="1:9" ht="12.75" customHeight="1">
      <c r="A75" s="59">
        <f t="shared" si="22"/>
        <v>0.89999999999999925</v>
      </c>
      <c r="B75" s="60">
        <f t="shared" si="15"/>
        <v>252</v>
      </c>
      <c r="C75" s="61" t="str">
        <f t="shared" si="16"/>
        <v>266R</v>
      </c>
      <c r="D75" s="60" t="str">
        <f t="shared" si="17"/>
        <v>275R</v>
      </c>
      <c r="E75" s="61">
        <f t="shared" si="18"/>
        <v>234</v>
      </c>
      <c r="F75" s="60" t="str">
        <f t="shared" si="19"/>
        <v>248R</v>
      </c>
      <c r="G75" s="60">
        <f t="shared" si="20"/>
        <v>216</v>
      </c>
      <c r="H75" s="61" t="str">
        <f t="shared" si="21"/>
        <v>230R</v>
      </c>
      <c r="I75" s="74">
        <v>180</v>
      </c>
    </row>
    <row r="76" spans="1:9" ht="12.75" customHeight="1">
      <c r="A76" s="59">
        <f t="shared" si="22"/>
        <v>0.90277777777777701</v>
      </c>
      <c r="B76" s="60">
        <f t="shared" si="15"/>
        <v>253</v>
      </c>
      <c r="C76" s="61">
        <f t="shared" si="16"/>
        <v>267</v>
      </c>
      <c r="D76" s="60">
        <f t="shared" si="17"/>
        <v>276</v>
      </c>
      <c r="E76" s="61" t="str">
        <f t="shared" si="18"/>
        <v>235L</v>
      </c>
      <c r="F76" s="60">
        <f t="shared" si="19"/>
        <v>249</v>
      </c>
      <c r="G76" s="60" t="str">
        <f t="shared" si="20"/>
        <v>217L</v>
      </c>
      <c r="H76" s="61">
        <f t="shared" si="21"/>
        <v>231</v>
      </c>
      <c r="I76" s="74" t="s">
        <v>91</v>
      </c>
    </row>
    <row r="77" spans="1:9" ht="12.75" customHeight="1">
      <c r="A77" s="59">
        <f t="shared" si="22"/>
        <v>0.90555555555555478</v>
      </c>
      <c r="B77" s="60" t="str">
        <f t="shared" si="15"/>
        <v>254L</v>
      </c>
      <c r="C77" s="61">
        <f t="shared" si="16"/>
        <v>268</v>
      </c>
      <c r="D77" s="60">
        <f t="shared" si="17"/>
        <v>277</v>
      </c>
      <c r="E77" s="61" t="str">
        <f t="shared" si="18"/>
        <v>235R</v>
      </c>
      <c r="F77" s="60">
        <f t="shared" si="19"/>
        <v>250</v>
      </c>
      <c r="G77" s="60" t="str">
        <f t="shared" si="20"/>
        <v>217R</v>
      </c>
      <c r="H77" s="61">
        <f t="shared" si="21"/>
        <v>232</v>
      </c>
      <c r="I77" s="74" t="s">
        <v>92</v>
      </c>
    </row>
    <row r="78" spans="1:9" ht="12.75" customHeight="1">
      <c r="A78" s="59">
        <f t="shared" si="22"/>
        <v>0.90833333333333255</v>
      </c>
      <c r="B78" s="60" t="str">
        <f t="shared" si="15"/>
        <v>254R</v>
      </c>
      <c r="C78" s="61">
        <f t="shared" si="16"/>
        <v>269</v>
      </c>
      <c r="D78" s="60">
        <f t="shared" si="17"/>
        <v>278</v>
      </c>
      <c r="E78" s="61">
        <f t="shared" si="18"/>
        <v>236</v>
      </c>
      <c r="F78" s="60" t="str">
        <f t="shared" si="19"/>
        <v>251L</v>
      </c>
      <c r="G78" s="60">
        <f t="shared" si="20"/>
        <v>218</v>
      </c>
      <c r="H78" s="61" t="str">
        <f t="shared" si="21"/>
        <v>233L</v>
      </c>
      <c r="I78" s="74" t="s">
        <v>93</v>
      </c>
    </row>
    <row r="79" spans="1:9" ht="12.75" customHeight="1">
      <c r="A79" s="59">
        <f t="shared" si="22"/>
        <v>0.91111111111111032</v>
      </c>
      <c r="B79" s="60">
        <f t="shared" si="15"/>
        <v>255</v>
      </c>
      <c r="C79" s="61">
        <f t="shared" si="16"/>
        <v>270</v>
      </c>
      <c r="D79" s="60">
        <f t="shared" si="17"/>
        <v>279</v>
      </c>
      <c r="E79" s="61">
        <f t="shared" si="18"/>
        <v>237</v>
      </c>
      <c r="F79" s="60" t="str">
        <f t="shared" si="19"/>
        <v>251R</v>
      </c>
      <c r="G79" s="60" t="str">
        <f t="shared" si="20"/>
        <v>219L</v>
      </c>
      <c r="H79" s="61" t="str">
        <f t="shared" si="21"/>
        <v>233R</v>
      </c>
      <c r="I79" s="74" t="s">
        <v>94</v>
      </c>
    </row>
    <row r="80" spans="1:9" ht="12.75" customHeight="1">
      <c r="A80" s="59">
        <f t="shared" si="22"/>
        <v>0.91388888888888808</v>
      </c>
      <c r="B80" s="60">
        <f t="shared" si="15"/>
        <v>256</v>
      </c>
      <c r="C80" s="61" t="str">
        <f t="shared" si="16"/>
        <v>271L</v>
      </c>
      <c r="D80" s="60">
        <f t="shared" si="17"/>
        <v>280</v>
      </c>
      <c r="E80" s="61" t="str">
        <f t="shared" si="18"/>
        <v>238L</v>
      </c>
      <c r="F80" s="60">
        <f t="shared" si="19"/>
        <v>252</v>
      </c>
      <c r="G80" s="60" t="str">
        <f t="shared" si="20"/>
        <v>219R</v>
      </c>
      <c r="H80" s="61">
        <f t="shared" si="21"/>
        <v>234</v>
      </c>
      <c r="I80" s="74" t="s">
        <v>95</v>
      </c>
    </row>
    <row r="81" spans="1:9" ht="12.75" customHeight="1">
      <c r="A81" s="59">
        <f t="shared" si="22"/>
        <v>0.91666666666666585</v>
      </c>
      <c r="B81" s="60" t="str">
        <f t="shared" si="15"/>
        <v>257L</v>
      </c>
      <c r="C81" s="61" t="str">
        <f t="shared" si="16"/>
        <v>271R</v>
      </c>
      <c r="D81" s="60" t="str">
        <f t="shared" si="17"/>
        <v>281L</v>
      </c>
      <c r="E81" s="61" t="str">
        <f t="shared" si="18"/>
        <v>238R</v>
      </c>
      <c r="F81" s="60">
        <f t="shared" si="19"/>
        <v>253</v>
      </c>
      <c r="G81" s="60">
        <f t="shared" si="20"/>
        <v>220</v>
      </c>
      <c r="H81" s="61" t="str">
        <f t="shared" si="21"/>
        <v>235L</v>
      </c>
      <c r="I81" s="74" t="s">
        <v>96</v>
      </c>
    </row>
    <row r="82" spans="1:9" ht="12.75" customHeight="1">
      <c r="A82" s="59">
        <f t="shared" si="22"/>
        <v>0.91944444444444362</v>
      </c>
      <c r="B82" s="60" t="str">
        <f t="shared" si="15"/>
        <v>257R</v>
      </c>
      <c r="C82" s="61">
        <f t="shared" si="16"/>
        <v>272</v>
      </c>
      <c r="D82" s="60" t="str">
        <f t="shared" si="17"/>
        <v>281R</v>
      </c>
      <c r="E82" s="61">
        <f t="shared" si="18"/>
        <v>239</v>
      </c>
      <c r="F82" s="60">
        <f t="shared" si="19"/>
        <v>254</v>
      </c>
      <c r="G82" s="60" t="str">
        <f t="shared" si="20"/>
        <v>221L</v>
      </c>
      <c r="H82" s="61" t="str">
        <f t="shared" si="21"/>
        <v>235R</v>
      </c>
      <c r="I82" s="74" t="s">
        <v>97</v>
      </c>
    </row>
    <row r="83" spans="1:9" ht="12.75" customHeight="1">
      <c r="A83" s="59">
        <f t="shared" si="22"/>
        <v>0.92222222222222139</v>
      </c>
      <c r="B83" s="60">
        <f t="shared" si="15"/>
        <v>258</v>
      </c>
      <c r="C83" s="61">
        <f t="shared" si="16"/>
        <v>273</v>
      </c>
      <c r="D83" s="60">
        <f t="shared" si="17"/>
        <v>282</v>
      </c>
      <c r="E83" s="61">
        <f t="shared" si="18"/>
        <v>240</v>
      </c>
      <c r="F83" s="60" t="str">
        <f t="shared" si="19"/>
        <v>255L</v>
      </c>
      <c r="G83" s="60" t="str">
        <f t="shared" si="20"/>
        <v>221R</v>
      </c>
      <c r="H83" s="61">
        <f t="shared" si="21"/>
        <v>236</v>
      </c>
      <c r="I83" s="74" t="s">
        <v>98</v>
      </c>
    </row>
    <row r="84" spans="1:9" ht="12.75" customHeight="1">
      <c r="A84" s="59">
        <f t="shared" si="22"/>
        <v>0.92499999999999916</v>
      </c>
      <c r="B84" s="60">
        <f t="shared" si="15"/>
        <v>259</v>
      </c>
      <c r="C84" s="61">
        <f t="shared" si="16"/>
        <v>274</v>
      </c>
      <c r="D84" s="60">
        <f t="shared" si="17"/>
        <v>283</v>
      </c>
      <c r="E84" s="61" t="str">
        <f t="shared" si="18"/>
        <v>241L</v>
      </c>
      <c r="F84" s="60" t="str">
        <f t="shared" si="19"/>
        <v>255R</v>
      </c>
      <c r="G84" s="60">
        <f t="shared" si="20"/>
        <v>222</v>
      </c>
      <c r="H84" s="61">
        <f t="shared" si="21"/>
        <v>237</v>
      </c>
      <c r="I84" s="74">
        <v>185</v>
      </c>
    </row>
    <row r="85" spans="1:9" ht="12.75" customHeight="1">
      <c r="A85" s="59">
        <f t="shared" si="22"/>
        <v>0.92777777777777692</v>
      </c>
      <c r="B85" s="60">
        <f t="shared" si="15"/>
        <v>260</v>
      </c>
      <c r="C85" s="61" t="str">
        <f t="shared" si="16"/>
        <v>275L</v>
      </c>
      <c r="D85" s="60">
        <f t="shared" si="17"/>
        <v>284</v>
      </c>
      <c r="E85" s="61" t="str">
        <f t="shared" si="18"/>
        <v>241R</v>
      </c>
      <c r="F85" s="60">
        <f t="shared" si="19"/>
        <v>256</v>
      </c>
      <c r="G85" s="60" t="str">
        <f t="shared" si="20"/>
        <v>223L</v>
      </c>
      <c r="H85" s="61" t="str">
        <f t="shared" si="21"/>
        <v>238L</v>
      </c>
      <c r="I85" s="74" t="s">
        <v>99</v>
      </c>
    </row>
    <row r="86" spans="1:9" ht="12.75" customHeight="1">
      <c r="A86" s="59">
        <f t="shared" si="22"/>
        <v>0.93055555555555469</v>
      </c>
      <c r="B86" s="60" t="str">
        <f t="shared" si="15"/>
        <v>261L</v>
      </c>
      <c r="C86" s="61" t="str">
        <f t="shared" si="16"/>
        <v>275R</v>
      </c>
      <c r="D86" s="60">
        <f t="shared" si="17"/>
        <v>285</v>
      </c>
      <c r="E86" s="61">
        <f t="shared" si="18"/>
        <v>242</v>
      </c>
      <c r="F86" s="60">
        <f t="shared" si="19"/>
        <v>257</v>
      </c>
      <c r="G86" s="60" t="str">
        <f t="shared" si="20"/>
        <v>223R</v>
      </c>
      <c r="H86" s="61" t="str">
        <f t="shared" si="21"/>
        <v>238R</v>
      </c>
      <c r="I86" s="74" t="s">
        <v>100</v>
      </c>
    </row>
    <row r="87" spans="1:9" ht="12.75" customHeight="1">
      <c r="A87" s="59">
        <f t="shared" si="22"/>
        <v>0.93333333333333246</v>
      </c>
      <c r="B87" s="60" t="str">
        <f t="shared" si="15"/>
        <v>261R</v>
      </c>
      <c r="C87" s="61">
        <f t="shared" si="16"/>
        <v>276</v>
      </c>
      <c r="D87" s="60" t="str">
        <f t="shared" si="17"/>
        <v>286L</v>
      </c>
      <c r="E87" s="61" t="str">
        <f t="shared" si="18"/>
        <v>243L</v>
      </c>
      <c r="F87" s="60" t="str">
        <f t="shared" si="19"/>
        <v>258L</v>
      </c>
      <c r="G87" s="60">
        <f t="shared" si="20"/>
        <v>224</v>
      </c>
      <c r="H87" s="61">
        <f t="shared" si="21"/>
        <v>239</v>
      </c>
      <c r="I87" s="74" t="s">
        <v>101</v>
      </c>
    </row>
    <row r="88" spans="1:9" ht="12.75" customHeight="1">
      <c r="A88" s="59">
        <f t="shared" si="22"/>
        <v>0.93611111111111023</v>
      </c>
      <c r="B88" s="60">
        <f t="shared" si="15"/>
        <v>262</v>
      </c>
      <c r="C88" s="61">
        <f t="shared" si="16"/>
        <v>277</v>
      </c>
      <c r="D88" s="60" t="str">
        <f t="shared" si="17"/>
        <v>286R</v>
      </c>
      <c r="E88" s="61" t="str">
        <f t="shared" si="18"/>
        <v>243R</v>
      </c>
      <c r="F88" s="60" t="str">
        <f t="shared" si="19"/>
        <v>258R</v>
      </c>
      <c r="G88" s="60" t="str">
        <f t="shared" si="20"/>
        <v>225L</v>
      </c>
      <c r="H88" s="61" t="str">
        <f t="shared" si="21"/>
        <v>240L</v>
      </c>
      <c r="I88" s="74" t="s">
        <v>102</v>
      </c>
    </row>
    <row r="89" spans="1:9" ht="12.75" customHeight="1">
      <c r="A89" s="59">
        <f t="shared" si="22"/>
        <v>0.938888888888888</v>
      </c>
      <c r="B89" s="60">
        <f t="shared" si="15"/>
        <v>263</v>
      </c>
      <c r="C89" s="61">
        <f t="shared" si="16"/>
        <v>278</v>
      </c>
      <c r="D89" s="60">
        <f t="shared" si="17"/>
        <v>287</v>
      </c>
      <c r="E89" s="61">
        <f t="shared" si="18"/>
        <v>244</v>
      </c>
      <c r="F89" s="60">
        <f t="shared" si="19"/>
        <v>259</v>
      </c>
      <c r="G89" s="60" t="str">
        <f t="shared" si="20"/>
        <v>225R</v>
      </c>
      <c r="H89" s="61" t="str">
        <f t="shared" si="21"/>
        <v>240R</v>
      </c>
      <c r="I89" s="74" t="s">
        <v>103</v>
      </c>
    </row>
    <row r="90" spans="1:9" ht="12.75" customHeight="1">
      <c r="A90" s="59">
        <f t="shared" si="22"/>
        <v>0.94166666666666576</v>
      </c>
      <c r="B90" s="60" t="str">
        <f t="shared" si="15"/>
        <v>264L</v>
      </c>
      <c r="C90" s="61">
        <f t="shared" si="16"/>
        <v>279</v>
      </c>
      <c r="D90" s="60">
        <f t="shared" si="17"/>
        <v>288</v>
      </c>
      <c r="E90" s="61">
        <f t="shared" si="18"/>
        <v>245</v>
      </c>
      <c r="F90" s="60">
        <f t="shared" si="19"/>
        <v>260</v>
      </c>
      <c r="G90" s="60">
        <f t="shared" si="20"/>
        <v>226</v>
      </c>
      <c r="H90" s="61">
        <f t="shared" si="21"/>
        <v>241</v>
      </c>
      <c r="I90" s="74" t="s">
        <v>104</v>
      </c>
    </row>
    <row r="91" spans="1:9" ht="12.75" customHeight="1">
      <c r="A91" s="59">
        <f t="shared" si="22"/>
        <v>0.94444444444444353</v>
      </c>
      <c r="B91" s="60" t="str">
        <f t="shared" si="15"/>
        <v>264R</v>
      </c>
      <c r="C91" s="61" t="str">
        <f t="shared" si="16"/>
        <v>280L</v>
      </c>
      <c r="D91" s="60">
        <f t="shared" si="17"/>
        <v>289</v>
      </c>
      <c r="E91" s="61" t="str">
        <f t="shared" si="18"/>
        <v>246L</v>
      </c>
      <c r="F91" s="60" t="str">
        <f t="shared" si="19"/>
        <v>261L</v>
      </c>
      <c r="G91" s="60" t="str">
        <f t="shared" si="20"/>
        <v>227L</v>
      </c>
      <c r="H91" s="61" t="str">
        <f t="shared" si="21"/>
        <v>242L</v>
      </c>
      <c r="I91" s="74" t="s">
        <v>105</v>
      </c>
    </row>
    <row r="92" spans="1:9" ht="12.75" customHeight="1">
      <c r="A92" s="59">
        <f t="shared" si="22"/>
        <v>0.9472222222222213</v>
      </c>
      <c r="B92" s="60">
        <f t="shared" si="15"/>
        <v>265</v>
      </c>
      <c r="C92" s="61" t="str">
        <f t="shared" si="16"/>
        <v>280R</v>
      </c>
      <c r="D92" s="60">
        <f t="shared" si="17"/>
        <v>290</v>
      </c>
      <c r="E92" s="61" t="str">
        <f t="shared" si="18"/>
        <v>246R</v>
      </c>
      <c r="F92" s="60" t="str">
        <f t="shared" si="19"/>
        <v>261R</v>
      </c>
      <c r="G92" s="60" t="str">
        <f t="shared" si="20"/>
        <v>227R</v>
      </c>
      <c r="H92" s="61" t="str">
        <f t="shared" si="21"/>
        <v>242R</v>
      </c>
      <c r="I92" s="74" t="s">
        <v>106</v>
      </c>
    </row>
    <row r="93" spans="1:9" ht="12.75" customHeight="1">
      <c r="A93" s="59">
        <f t="shared" si="22"/>
        <v>0.94999999999999907</v>
      </c>
      <c r="B93" s="60">
        <f t="shared" si="15"/>
        <v>266</v>
      </c>
      <c r="C93" s="61">
        <f t="shared" si="16"/>
        <v>281</v>
      </c>
      <c r="D93" s="60">
        <f t="shared" si="17"/>
        <v>291</v>
      </c>
      <c r="E93" s="61">
        <f t="shared" si="18"/>
        <v>247</v>
      </c>
      <c r="F93" s="60">
        <f t="shared" si="19"/>
        <v>262</v>
      </c>
      <c r="G93" s="60">
        <f t="shared" si="20"/>
        <v>228</v>
      </c>
      <c r="H93" s="61">
        <f t="shared" si="21"/>
        <v>243</v>
      </c>
      <c r="I93" s="74">
        <v>190</v>
      </c>
    </row>
    <row r="94" spans="1:9" ht="12.75" customHeight="1">
      <c r="A94" s="59">
        <f t="shared" si="22"/>
        <v>0.95277777777777684</v>
      </c>
      <c r="B94" s="60">
        <f t="shared" si="15"/>
        <v>267</v>
      </c>
      <c r="C94" s="61">
        <f t="shared" si="16"/>
        <v>282</v>
      </c>
      <c r="D94" s="60" t="str">
        <f t="shared" si="17"/>
        <v>292L</v>
      </c>
      <c r="E94" s="61" t="str">
        <f t="shared" si="18"/>
        <v>248L</v>
      </c>
      <c r="F94" s="60">
        <f t="shared" si="19"/>
        <v>263</v>
      </c>
      <c r="G94" s="60" t="str">
        <f t="shared" si="20"/>
        <v>229L</v>
      </c>
      <c r="H94" s="61">
        <f t="shared" si="21"/>
        <v>244</v>
      </c>
      <c r="I94" s="74" t="s">
        <v>107</v>
      </c>
    </row>
    <row r="95" spans="1:9" ht="12.75" customHeight="1">
      <c r="A95" s="59">
        <f t="shared" si="22"/>
        <v>0.9555555555555546</v>
      </c>
      <c r="B95" s="60" t="str">
        <f t="shared" si="15"/>
        <v>268L</v>
      </c>
      <c r="C95" s="61">
        <f t="shared" si="16"/>
        <v>283</v>
      </c>
      <c r="D95" s="60" t="str">
        <f t="shared" si="17"/>
        <v>292R</v>
      </c>
      <c r="E95" s="61" t="str">
        <f t="shared" si="18"/>
        <v>248R</v>
      </c>
      <c r="F95" s="60">
        <f t="shared" si="19"/>
        <v>264</v>
      </c>
      <c r="G95" s="60" t="str">
        <f t="shared" si="20"/>
        <v>229R</v>
      </c>
      <c r="H95" s="61" t="str">
        <f t="shared" si="21"/>
        <v>245L</v>
      </c>
      <c r="I95" s="74" t="s">
        <v>108</v>
      </c>
    </row>
    <row r="96" spans="1:9" ht="12.75" customHeight="1">
      <c r="A96" s="59">
        <f t="shared" si="22"/>
        <v>0.95833333333333237</v>
      </c>
      <c r="B96" s="60" t="str">
        <f t="shared" si="15"/>
        <v>268R</v>
      </c>
      <c r="C96" s="61" t="str">
        <f t="shared" si="16"/>
        <v>284L</v>
      </c>
      <c r="D96" s="60">
        <f t="shared" si="17"/>
        <v>293</v>
      </c>
      <c r="E96" s="61">
        <f t="shared" si="18"/>
        <v>249</v>
      </c>
      <c r="F96" s="60" t="str">
        <f t="shared" si="19"/>
        <v>265L</v>
      </c>
      <c r="G96" s="60">
        <f t="shared" si="20"/>
        <v>230</v>
      </c>
      <c r="H96" s="61" t="str">
        <f t="shared" si="21"/>
        <v>245R</v>
      </c>
      <c r="I96" s="74" t="s">
        <v>109</v>
      </c>
    </row>
    <row r="97" spans="1:9" ht="12.75" customHeight="1">
      <c r="A97" s="59">
        <f t="shared" si="22"/>
        <v>0.96111111111111014</v>
      </c>
      <c r="B97" s="60">
        <f t="shared" si="15"/>
        <v>269</v>
      </c>
      <c r="C97" s="61" t="str">
        <f t="shared" si="16"/>
        <v>284R</v>
      </c>
      <c r="D97" s="60">
        <f t="shared" si="17"/>
        <v>294</v>
      </c>
      <c r="E97" s="61">
        <f t="shared" si="18"/>
        <v>250</v>
      </c>
      <c r="F97" s="60" t="str">
        <f t="shared" si="19"/>
        <v>265R</v>
      </c>
      <c r="G97" s="60" t="str">
        <f t="shared" si="20"/>
        <v>231L</v>
      </c>
      <c r="H97" s="61">
        <f t="shared" si="21"/>
        <v>246</v>
      </c>
      <c r="I97" s="74" t="s">
        <v>110</v>
      </c>
    </row>
    <row r="98" spans="1:9" ht="12.75" customHeight="1">
      <c r="A98" s="59">
        <f t="shared" si="22"/>
        <v>0.96388888888888791</v>
      </c>
      <c r="B98" s="60">
        <f t="shared" si="15"/>
        <v>270</v>
      </c>
      <c r="C98" s="61">
        <f t="shared" si="16"/>
        <v>285</v>
      </c>
      <c r="D98" s="60">
        <f t="shared" si="17"/>
        <v>295</v>
      </c>
      <c r="E98" s="61" t="str">
        <f t="shared" si="18"/>
        <v>251L</v>
      </c>
      <c r="F98" s="60">
        <f t="shared" si="19"/>
        <v>266</v>
      </c>
      <c r="G98" s="60" t="str">
        <f t="shared" si="20"/>
        <v>231R</v>
      </c>
      <c r="H98" s="61" t="str">
        <f t="shared" si="21"/>
        <v>247L</v>
      </c>
      <c r="I98" s="74" t="s">
        <v>111</v>
      </c>
    </row>
    <row r="99" spans="1:9" ht="12.75" customHeight="1">
      <c r="A99" s="59">
        <f t="shared" si="22"/>
        <v>0.96666666666666567</v>
      </c>
      <c r="B99" s="60" t="str">
        <f t="shared" ref="B99:B110" si="23">IF(ROUND(B$111*A99,0)=ROUND(B$111*A98,0),CONCATENATE(ROUND(B$111*A99,0),"R"),IF(ROUND(B$111*A99,0)=ROUND(B$111*A100,0),CONCATENATE(ROUND(B$111*A99,0),"L"),ROUND(B$111*A99,0)))</f>
        <v>271L</v>
      </c>
      <c r="C99" s="61">
        <f t="shared" ref="C99:C110" si="24">IF(ROUND(C$111*A99,0)=ROUND(C$111*A98,0),CONCATENATE(ROUND(C$111*A99,0),"R"),IF(ROUND(C$111*A99,0)=ROUND(C$111*A100,0),CONCATENATE(ROUND(C$111*A99,0),"L"),ROUND(C$111*A99,0)))</f>
        <v>286</v>
      </c>
      <c r="D99" s="60">
        <f t="shared" ref="D99:D110" si="25">IF(ROUND(D$111*A99,0)=ROUND(D$111*A98,0),CONCATENATE(ROUND(D$111*A99,0),"R"),IF(ROUND(D$111*A99,0)=ROUND(D$111*A100,0),CONCATENATE(ROUND(D$111*A99,0),"L"),ROUND(D$111*A99,0)))</f>
        <v>296</v>
      </c>
      <c r="E99" s="61" t="str">
        <f t="shared" ref="E99:E110" si="26">IF(ROUND(E$111*A99,0)=ROUND(E$111*A98,0),CONCATENATE(ROUND(E$111*A99,0),"R"),IF(ROUND(E$111*A99,0)=ROUND(E$111*A100,0),CONCATENATE(ROUND(E$111*A99,0),"L"),ROUND(E$111*A99,0)))</f>
        <v>251R</v>
      </c>
      <c r="F99" s="60">
        <f t="shared" ref="F99:F110" si="27">IF(ROUND(F$111*A99,0)=ROUND(F$111*A98,0),CONCATENATE(ROUND(F$111*A99,0),"R"),IF(ROUND(F$111*A99,0)=ROUND(F$111*A100,0),CONCATENATE(ROUND(F$111*A99,0),"L"),ROUND(F$111*A99,0)))</f>
        <v>267</v>
      </c>
      <c r="G99" s="60">
        <f t="shared" ref="G99:G110" si="28">IF(ROUND(G$111*A99,0)=ROUND(G$111*A98,0),CONCATENATE(ROUND(G$111*A99,0),"R"),IF(ROUND(G$111*A99,0)=ROUND(G$111*A100,0),CONCATENATE(ROUND(G$111*A99,0),"L"),ROUND(G$111*A99,0)))</f>
        <v>232</v>
      </c>
      <c r="H99" s="61" t="str">
        <f t="shared" ref="H99:H110" si="29">IF(ROUND(H$111*A99,0)=ROUND(H$111*A98,0),CONCATENATE(ROUND(H$111*A99,0),"R"),IF(ROUND(H$111*A99,0)=ROUND(H$111*A100,0),CONCATENATE(ROUND(H$111*A99,0),"L"),ROUND(H$111*A99,0)))</f>
        <v>247R</v>
      </c>
      <c r="I99" s="74" t="s">
        <v>112</v>
      </c>
    </row>
    <row r="100" spans="1:9" ht="12.75" customHeight="1">
      <c r="A100" s="59">
        <f t="shared" si="22"/>
        <v>0.96944444444444344</v>
      </c>
      <c r="B100" s="60" t="str">
        <f t="shared" si="23"/>
        <v>271R</v>
      </c>
      <c r="C100" s="61">
        <f t="shared" si="24"/>
        <v>287</v>
      </c>
      <c r="D100" s="60">
        <f t="shared" si="25"/>
        <v>297</v>
      </c>
      <c r="E100" s="61">
        <f t="shared" si="26"/>
        <v>252</v>
      </c>
      <c r="F100" s="60" t="str">
        <f t="shared" si="27"/>
        <v>268L</v>
      </c>
      <c r="G100" s="60" t="str">
        <f t="shared" si="28"/>
        <v>233L</v>
      </c>
      <c r="H100" s="61">
        <f t="shared" si="29"/>
        <v>248</v>
      </c>
      <c r="I100" s="74" t="s">
        <v>113</v>
      </c>
    </row>
    <row r="101" spans="1:9" ht="12.75" customHeight="1">
      <c r="A101" s="59">
        <f t="shared" si="22"/>
        <v>0.97222222222222121</v>
      </c>
      <c r="B101" s="60">
        <f t="shared" si="23"/>
        <v>272</v>
      </c>
      <c r="C101" s="61">
        <f t="shared" si="24"/>
        <v>288</v>
      </c>
      <c r="D101" s="60" t="str">
        <f t="shared" si="25"/>
        <v>298L</v>
      </c>
      <c r="E101" s="61">
        <f t="shared" si="26"/>
        <v>253</v>
      </c>
      <c r="F101" s="60" t="str">
        <f t="shared" si="27"/>
        <v>268R</v>
      </c>
      <c r="G101" s="60" t="str">
        <f t="shared" si="28"/>
        <v>233R</v>
      </c>
      <c r="H101" s="61">
        <f t="shared" si="29"/>
        <v>249</v>
      </c>
      <c r="I101" s="74" t="s">
        <v>114</v>
      </c>
    </row>
    <row r="102" spans="1:9" ht="12.75" customHeight="1">
      <c r="A102" s="59">
        <f t="shared" si="22"/>
        <v>0.97499999999999898</v>
      </c>
      <c r="B102" s="60">
        <f t="shared" si="23"/>
        <v>273</v>
      </c>
      <c r="C102" s="61" t="str">
        <f t="shared" si="24"/>
        <v>289L</v>
      </c>
      <c r="D102" s="60" t="str">
        <f t="shared" si="25"/>
        <v>298R</v>
      </c>
      <c r="E102" s="61" t="str">
        <f t="shared" si="26"/>
        <v>254L</v>
      </c>
      <c r="F102" s="60">
        <f t="shared" si="27"/>
        <v>269</v>
      </c>
      <c r="G102" s="60">
        <f t="shared" si="28"/>
        <v>234</v>
      </c>
      <c r="H102" s="61" t="str">
        <f t="shared" si="29"/>
        <v>250L</v>
      </c>
      <c r="I102" s="74">
        <v>195</v>
      </c>
    </row>
    <row r="103" spans="1:9" ht="12.75" customHeight="1">
      <c r="A103" s="59">
        <f t="shared" si="22"/>
        <v>0.97777777777777675</v>
      </c>
      <c r="B103" s="60">
        <f t="shared" si="23"/>
        <v>274</v>
      </c>
      <c r="C103" s="61" t="str">
        <f t="shared" si="24"/>
        <v>289R</v>
      </c>
      <c r="D103" s="60">
        <f t="shared" si="25"/>
        <v>299</v>
      </c>
      <c r="E103" s="61" t="str">
        <f t="shared" si="26"/>
        <v>254R</v>
      </c>
      <c r="F103" s="60">
        <f t="shared" si="27"/>
        <v>270</v>
      </c>
      <c r="G103" s="60" t="str">
        <f t="shared" si="28"/>
        <v>235L</v>
      </c>
      <c r="H103" s="61" t="str">
        <f t="shared" si="29"/>
        <v>250R</v>
      </c>
      <c r="I103" s="74" t="s">
        <v>115</v>
      </c>
    </row>
    <row r="104" spans="1:9" ht="12.75" customHeight="1">
      <c r="A104" s="59">
        <f t="shared" si="22"/>
        <v>0.98055555555555451</v>
      </c>
      <c r="B104" s="60" t="str">
        <f t="shared" si="23"/>
        <v>275L</v>
      </c>
      <c r="C104" s="61">
        <f t="shared" si="24"/>
        <v>290</v>
      </c>
      <c r="D104" s="60">
        <f t="shared" si="25"/>
        <v>300</v>
      </c>
      <c r="E104" s="61">
        <f t="shared" si="26"/>
        <v>255</v>
      </c>
      <c r="F104" s="60" t="str">
        <f t="shared" si="27"/>
        <v>271L</v>
      </c>
      <c r="G104" s="60" t="str">
        <f t="shared" si="28"/>
        <v>235R</v>
      </c>
      <c r="H104" s="61">
        <f t="shared" si="29"/>
        <v>251</v>
      </c>
      <c r="I104" s="74" t="s">
        <v>116</v>
      </c>
    </row>
    <row r="105" spans="1:9" ht="12.75" customHeight="1">
      <c r="A105" s="59">
        <f t="shared" si="22"/>
        <v>0.98333333333333228</v>
      </c>
      <c r="B105" s="60" t="str">
        <f t="shared" si="23"/>
        <v>275R</v>
      </c>
      <c r="C105" s="61">
        <f t="shared" si="24"/>
        <v>291</v>
      </c>
      <c r="D105" s="60">
        <f t="shared" si="25"/>
        <v>301</v>
      </c>
      <c r="E105" s="61" t="str">
        <f t="shared" si="26"/>
        <v>256L</v>
      </c>
      <c r="F105" s="60" t="str">
        <f t="shared" si="27"/>
        <v>271R</v>
      </c>
      <c r="G105" s="60">
        <f t="shared" si="28"/>
        <v>236</v>
      </c>
      <c r="H105" s="61" t="str">
        <f t="shared" si="29"/>
        <v>252L</v>
      </c>
      <c r="I105" s="74" t="s">
        <v>117</v>
      </c>
    </row>
    <row r="106" spans="1:9" ht="12.75" customHeight="1">
      <c r="A106" s="59">
        <f t="shared" si="22"/>
        <v>0.98611111111111005</v>
      </c>
      <c r="B106" s="60">
        <f t="shared" si="23"/>
        <v>276</v>
      </c>
      <c r="C106" s="61">
        <f t="shared" si="24"/>
        <v>292</v>
      </c>
      <c r="D106" s="60">
        <f t="shared" si="25"/>
        <v>302</v>
      </c>
      <c r="E106" s="61" t="str">
        <f t="shared" si="26"/>
        <v>256R</v>
      </c>
      <c r="F106" s="60">
        <f t="shared" si="27"/>
        <v>272</v>
      </c>
      <c r="G106" s="60" t="str">
        <f t="shared" si="28"/>
        <v>237L</v>
      </c>
      <c r="H106" s="61" t="str">
        <f t="shared" si="29"/>
        <v>252R</v>
      </c>
      <c r="I106" s="74" t="s">
        <v>118</v>
      </c>
    </row>
    <row r="107" spans="1:9" ht="12.75" customHeight="1">
      <c r="A107" s="59">
        <f t="shared" si="22"/>
        <v>0.98888888888888782</v>
      </c>
      <c r="B107" s="60">
        <f t="shared" si="23"/>
        <v>277</v>
      </c>
      <c r="C107" s="61">
        <f t="shared" si="24"/>
        <v>293</v>
      </c>
      <c r="D107" s="60" t="str">
        <f t="shared" si="25"/>
        <v>303L</v>
      </c>
      <c r="E107" s="61">
        <f t="shared" si="26"/>
        <v>257</v>
      </c>
      <c r="F107" s="60">
        <f t="shared" si="27"/>
        <v>273</v>
      </c>
      <c r="G107" s="60" t="str">
        <f t="shared" si="28"/>
        <v>237R</v>
      </c>
      <c r="H107" s="61">
        <f t="shared" si="29"/>
        <v>253</v>
      </c>
      <c r="I107" s="74" t="s">
        <v>119</v>
      </c>
    </row>
    <row r="108" spans="1:9" ht="12.75" customHeight="1">
      <c r="A108" s="59">
        <f t="shared" si="22"/>
        <v>0.99166666666666559</v>
      </c>
      <c r="B108" s="60" t="str">
        <f t="shared" si="23"/>
        <v>278L</v>
      </c>
      <c r="C108" s="61" t="str">
        <f t="shared" si="24"/>
        <v>294L</v>
      </c>
      <c r="D108" s="60" t="str">
        <f t="shared" si="25"/>
        <v>303R</v>
      </c>
      <c r="E108" s="61">
        <f t="shared" si="26"/>
        <v>258</v>
      </c>
      <c r="F108" s="60" t="str">
        <f t="shared" si="27"/>
        <v>274L</v>
      </c>
      <c r="G108" s="60">
        <f t="shared" si="28"/>
        <v>238</v>
      </c>
      <c r="H108" s="61">
        <f t="shared" si="29"/>
        <v>254</v>
      </c>
      <c r="I108" s="74" t="s">
        <v>120</v>
      </c>
    </row>
    <row r="109" spans="1:9" ht="12.75" customHeight="1">
      <c r="A109" s="59">
        <f t="shared" si="22"/>
        <v>0.99444444444444335</v>
      </c>
      <c r="B109" s="60" t="str">
        <f t="shared" si="23"/>
        <v>278R</v>
      </c>
      <c r="C109" s="61" t="str">
        <f t="shared" si="24"/>
        <v>294R</v>
      </c>
      <c r="D109" s="60">
        <f t="shared" si="25"/>
        <v>304</v>
      </c>
      <c r="E109" s="61" t="str">
        <f t="shared" si="26"/>
        <v>259L</v>
      </c>
      <c r="F109" s="60" t="str">
        <f t="shared" si="27"/>
        <v>274R</v>
      </c>
      <c r="G109" s="60" t="str">
        <f t="shared" si="28"/>
        <v>239L</v>
      </c>
      <c r="H109" s="61" t="str">
        <f t="shared" si="29"/>
        <v>255L</v>
      </c>
      <c r="I109" s="74" t="s">
        <v>121</v>
      </c>
    </row>
    <row r="110" spans="1:9" ht="12.75" customHeight="1">
      <c r="A110" s="59">
        <f t="shared" si="22"/>
        <v>0.99722222222222112</v>
      </c>
      <c r="B110" s="60">
        <f t="shared" si="23"/>
        <v>279</v>
      </c>
      <c r="C110" s="61">
        <f t="shared" si="24"/>
        <v>295</v>
      </c>
      <c r="D110" s="60">
        <f t="shared" si="25"/>
        <v>305</v>
      </c>
      <c r="E110" s="61" t="str">
        <f t="shared" si="26"/>
        <v>259R</v>
      </c>
      <c r="F110" s="60">
        <f t="shared" si="27"/>
        <v>275</v>
      </c>
      <c r="G110" s="60" t="str">
        <f t="shared" si="28"/>
        <v>239R</v>
      </c>
      <c r="H110" s="61" t="str">
        <f t="shared" si="29"/>
        <v>255R</v>
      </c>
      <c r="I110" s="74" t="s">
        <v>122</v>
      </c>
    </row>
    <row r="111" spans="1:9" ht="12.75" customHeight="1">
      <c r="A111" s="59">
        <f t="shared" si="22"/>
        <v>0.99999999999999889</v>
      </c>
      <c r="B111" s="60">
        <f>A1</f>
        <v>280</v>
      </c>
      <c r="C111" s="61">
        <f>A1+10+B1</f>
        <v>296</v>
      </c>
      <c r="D111" s="60">
        <f>A1+20+B1</f>
        <v>306</v>
      </c>
      <c r="E111" s="61">
        <f>B111-20</f>
        <v>260</v>
      </c>
      <c r="F111" s="60">
        <f>C111-20</f>
        <v>276</v>
      </c>
      <c r="G111" s="60">
        <f>E111-20</f>
        <v>240</v>
      </c>
      <c r="H111" s="61">
        <f>F111-20</f>
        <v>256</v>
      </c>
      <c r="I111" s="74">
        <v>200</v>
      </c>
    </row>
  </sheetData>
  <pageMargins left="0.78749999999999998" right="0.78749999999999998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34"/>
  <sheetViews>
    <sheetView workbookViewId="0">
      <selection activeCell="D2" sqref="D2"/>
    </sheetView>
  </sheetViews>
  <sheetFormatPr defaultRowHeight="12.75"/>
  <sheetData>
    <row r="1" spans="1:10" ht="14.25">
      <c r="A1" t="s">
        <v>128</v>
      </c>
      <c r="B1" s="79">
        <f>CC!B21</f>
        <v>249.7</v>
      </c>
      <c r="C1" s="79">
        <f>CC!C21</f>
        <v>215.7</v>
      </c>
      <c r="D1" s="79">
        <f>CC!D21</f>
        <v>183.4</v>
      </c>
      <c r="E1" s="848">
        <f>CC!E21</f>
        <v>153.69999999999999</v>
      </c>
      <c r="F1" s="849">
        <f>CC!B24</f>
        <v>127.7</v>
      </c>
      <c r="G1" s="848">
        <f>CC!C24</f>
        <v>104.5</v>
      </c>
      <c r="H1" s="849">
        <f>CC!D24</f>
        <v>83.2</v>
      </c>
      <c r="I1" s="848">
        <f>CC!E24</f>
        <v>63.8</v>
      </c>
      <c r="J1" s="1053">
        <f>B2*(J2-C1)*(J2-D1)*(J2-E1)*(J2-F1)*(J2-G1)*(J2-H1)*(J2-I1)/((B1-C1)*(B1-D1)*(B1-E1)*(B1-F1)*(B1-G1)*(B1-H1)*(B1-I1))+C2*(J2-B1)*(J2-D1)*(J2-E1)*(J2-F1)*(J2-G1)*(J2-H1)*(J2-I1)/((C1-B1)*(C1-D1)*(C1-E1)*(C1-F1)*(C1-G1)*(C1-H1)*(C1-I1))+D2*(J2-B1)*(J2-C1)*(J2-E1)*(J2-F1)*(J2-G1)*(J2-H1)*(J2-I1)/((D1-B1)*(D1-C1)*(D1-E1)*(D1-F1)*(D1-G1)*(D1-H1)*(D1-I1))+E2*(J2-B1)*(J2-C1)*(J2-D1)*(J2-F1)*(J2-G1)*(J2-H1)*(J2-I1)/((E1-B1)*(E1-C1)*(E1-D1)*(E1-F1)*(E1-G1)*(E1-H1)*(E1-I1))+F2*(J2-B1)*(J2-C1)*(J2-D1)*(J2-E1)*(J2-G1)*(J2-H1)*(J2-I1)/((F1-B1)*(F1-C1)*(F1-D1)*(F1-E1)*(F1-G1)*(F1-H1)*(F1-I1))+G2*(J2-B1)*(J2-C1)*(J2-D1)*(J2-E1)*(J2-F1)*(J2-H1)*(J2-I1)/((G1-B1)*(G1-C1)*(G1-D1)*(G1-E1)*(G1-F1)*(G1-H1)*(G1-I1))+H2*(J2-B1)*(J2-C1)*(J2-D1)*(J2-E1)*(J2-F1)*(J2-G1)*(J2-I1)/((H1-B1)*(H1-C1)*(H1-D1)*(H1-E1)*(H1-F1)*(H1-G1)*(H1-I1))+I2*(J2-B1)*(J2-C1)*(J2-D1)*(J2-E1)*(J2-F1)*(J2-G1)*(J2-H1)/((I1-B1)*(I1-C1)*(I1-D1)*(I1-E1)*(I1-F1)*(I1-G1)*(I1-H1))</f>
        <v>1.4174119652484303</v>
      </c>
    </row>
    <row r="2" spans="1:10" ht="14.25">
      <c r="B2" s="79">
        <v>2.8</v>
      </c>
      <c r="C2" s="79">
        <v>2.2999999999999998</v>
      </c>
      <c r="D2" s="79">
        <v>1.8</v>
      </c>
      <c r="E2" s="848">
        <v>1.5</v>
      </c>
      <c r="F2" s="849">
        <v>1.4</v>
      </c>
      <c r="G2" s="848">
        <v>1.3</v>
      </c>
      <c r="H2" s="849">
        <v>1.1000000000000001</v>
      </c>
      <c r="I2" s="848">
        <v>0.9</v>
      </c>
      <c r="J2" s="850">
        <f>CC!K29</f>
        <v>133.82956376522665</v>
      </c>
    </row>
    <row r="3" spans="1:10" ht="15" thickBot="1">
      <c r="B3" s="877">
        <v>3.6</v>
      </c>
      <c r="C3" s="878">
        <v>4</v>
      </c>
      <c r="D3" s="878">
        <v>3.6</v>
      </c>
      <c r="E3" s="879">
        <v>2.2999999999999998</v>
      </c>
      <c r="F3" s="849">
        <v>2.1</v>
      </c>
      <c r="G3" s="848">
        <v>2</v>
      </c>
      <c r="H3" s="849">
        <v>1.9</v>
      </c>
      <c r="I3" s="848">
        <v>1.8</v>
      </c>
      <c r="J3" s="1053">
        <f>B3*(J2-C1)*(J2-D1)*(J2-E1)*(J2-F1)*(J2-G1)*(J2-H1)*(J2-I1)/((B1-C1)*(B1-D1)*(B1-E1)*(B1-F1)*(B1-G1)*(B1-H1)*(B1-I1))+C3*(J2-B1)*(J2-D1)*(J2-E1)*(J2-F1)*(J2-G1)*(J2-H1)*(J2-I1)/((C1-B1)*(C1-D1)*(C1-E1)*(C1-F1)*(C1-G1)*(C1-H1)*(C1-I1))+D3*(J2-B1)*(J2-C1)*(J2-E1)*(J2-F1)*(J2-G1)*(J2-H1)*(J2-I1)/((D1-B1)*(D1-C1)*(D1-E1)*(D1-F1)*(D1-G1)*(D1-H1)*(D1-I1))+E3*(J2-B1)*(J2-C1)*(J2-D1)*(J2-F1)*(J2-G1)*(J2-H1)*(J2-I1)/((E1-B1)*(E1-C1)*(E1-D1)*(E1-F1)*(E1-G1)*(E1-H1)*(E1-I1))+F3*(J2-B1)*(J2-C1)*(J2-D1)*(J2-E1)*(J2-G1)*(J2-H1)*(J2-I1)/((F1-B1)*(F1-C1)*(F1-D1)*(F1-E1)*(F1-G1)*(F1-H1)*(F1-I1))+G3*(J2-B1)*(J2-C1)*(J2-D1)*(J2-E1)*(J2-F1)*(J2-H1)*(J2-I1)/((G1-B1)*(G1-C1)*(G1-D1)*(G1-E1)*(G1-F1)*(G1-H1)*(G1-I1))+H3*(J2-B1)*(J2-C1)*(J2-D1)*(J2-E1)*(J2-F1)*(J2-G1)*(J2-I1)/((H1-B1)*(H1-C1)*(H1-D1)*(H1-E1)*(H1-F1)*(H1-G1)*(H1-I1))+I3*(J2-B1)*(J2-C1)*(J2-D1)*(J2-E1)*(J2-F1)*(J2-G1)*(J2-H1)/((I1-B1)*(I1-C1)*(I1-D1)*(I1-E1)*(I1-F1)*(I1-G1)*(I1-H1))</f>
        <v>2.1072457932888331</v>
      </c>
    </row>
    <row r="4" spans="1:10" ht="14.25">
      <c r="B4" s="890">
        <v>4.2</v>
      </c>
      <c r="C4" s="891">
        <v>3.6</v>
      </c>
      <c r="D4" s="892">
        <v>2.7</v>
      </c>
      <c r="E4" s="848">
        <v>2.4</v>
      </c>
    </row>
    <row r="5" spans="1:10">
      <c r="A5" t="s">
        <v>129</v>
      </c>
      <c r="B5" s="79">
        <f>CC!B39</f>
        <v>264.25</v>
      </c>
      <c r="C5" s="79">
        <f>CC!C39</f>
        <v>231.5</v>
      </c>
      <c r="D5" s="79">
        <f>CC!D39</f>
        <v>199</v>
      </c>
      <c r="E5" s="80">
        <f>B6*(E6-C5)*(E6-D5)/((B5-C5)*(B5-D5))+C6*(E6-B5)*(E6-D5)/((C5-B5)*(C5-D5))+D6*(E6-B5)*(E6-C5)/((D5-B5)*(D5-C5))</f>
        <v>4.3135591167610254</v>
      </c>
    </row>
    <row r="6" spans="1:10">
      <c r="B6" s="79">
        <v>1.02</v>
      </c>
      <c r="C6" s="79">
        <v>1.45</v>
      </c>
      <c r="D6" s="79">
        <v>2.15</v>
      </c>
      <c r="E6" s="81">
        <f>CC!K48</f>
        <v>135.25590262822433</v>
      </c>
    </row>
    <row r="8" spans="1:10">
      <c r="A8" t="s">
        <v>130</v>
      </c>
      <c r="B8" s="79">
        <f>CC!B3</f>
        <v>300.39999999999998</v>
      </c>
      <c r="C8" s="79">
        <f>CC!C3</f>
        <v>266.89999999999998</v>
      </c>
      <c r="D8" s="79">
        <f>CC!D3</f>
        <v>234</v>
      </c>
      <c r="E8" s="80">
        <f>B9*(E9-C8)*(E9-D8)/((B8-C8)*(B8-D8))+C9*(E9-B8)*(E9-D8)/((C8-B8)*(C8-D8))+D9*(E9-B8)*(E9-C8)/((D8-B8)*(D8-C8))</f>
        <v>1.8338982207947154</v>
      </c>
    </row>
    <row r="9" spans="1:10">
      <c r="B9" s="79">
        <v>2.8</v>
      </c>
      <c r="C9" s="79">
        <v>3</v>
      </c>
      <c r="D9" s="79">
        <v>3</v>
      </c>
      <c r="E9" s="81">
        <f>CC!K12</f>
        <v>135.38485980401731</v>
      </c>
    </row>
    <row r="10" spans="1:10">
      <c r="B10" s="73">
        <v>4</v>
      </c>
      <c r="C10" s="73">
        <v>4</v>
      </c>
      <c r="D10" s="73">
        <v>3</v>
      </c>
      <c r="E10" s="73">
        <f>B10*(E9-C8)*(E9-D8)/((B8-C8)*(B8-D8))+C10*(E9-B8)*(E9-D8)/((C8-B8)*(C8-D8))+D10*(E9-B8)*(E9-C8)/((D8-B8)*(D8-C8))</f>
        <v>-5.9342610399047899</v>
      </c>
    </row>
    <row r="20" spans="1:15">
      <c r="E20" s="5"/>
      <c r="K20" s="5"/>
    </row>
    <row r="21" spans="1:15">
      <c r="E21" s="5"/>
      <c r="O21" s="5"/>
    </row>
    <row r="22" spans="1:15">
      <c r="E22" s="5"/>
      <c r="O22" s="5"/>
    </row>
    <row r="23" spans="1:15">
      <c r="E23" s="5"/>
      <c r="O23" s="5"/>
    </row>
    <row r="24" spans="1:15">
      <c r="E24" s="5"/>
      <c r="O24" s="5"/>
    </row>
    <row r="25" spans="1:15">
      <c r="E25" s="5"/>
      <c r="O25" s="5"/>
    </row>
    <row r="26" spans="1:15">
      <c r="E26" s="5"/>
      <c r="K26" s="17"/>
    </row>
    <row r="27" spans="1:15">
      <c r="A27" s="5"/>
      <c r="B27" s="5"/>
      <c r="C27" s="5"/>
      <c r="D27" s="5"/>
      <c r="E27" s="5"/>
      <c r="K27" s="17"/>
    </row>
    <row r="28" spans="1:15">
      <c r="A28" s="5"/>
      <c r="B28" s="5"/>
      <c r="C28" s="5"/>
      <c r="D28" s="5"/>
      <c r="E28" s="5"/>
    </row>
    <row r="29" spans="1:15">
      <c r="A29" s="5"/>
      <c r="B29" s="5"/>
      <c r="C29" s="5"/>
      <c r="D29" s="5"/>
      <c r="E29" s="5"/>
    </row>
    <row r="30" spans="1:15">
      <c r="A30" s="5"/>
      <c r="B30" s="5"/>
    </row>
    <row r="31" spans="1:15">
      <c r="A31" s="5"/>
      <c r="B31" s="5"/>
      <c r="C31" s="5"/>
    </row>
    <row r="32" spans="1:15">
      <c r="A32" s="5"/>
      <c r="B32" s="5"/>
      <c r="C32" s="5"/>
    </row>
    <row r="33" spans="1:3">
      <c r="A33" s="5"/>
      <c r="B33" s="5"/>
      <c r="C33" s="5"/>
    </row>
    <row r="34" spans="1:3">
      <c r="A34" s="5"/>
      <c r="B34" s="5"/>
      <c r="C34" s="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64"/>
  <sheetViews>
    <sheetView showGridLines="0" showRowColHeaders="0" topLeftCell="A16" workbookViewId="0">
      <selection activeCell="I26" sqref="I26"/>
    </sheetView>
  </sheetViews>
  <sheetFormatPr defaultRowHeight="12.75"/>
  <sheetData>
    <row r="1" spans="1:16" ht="14.25">
      <c r="A1" s="196"/>
      <c r="B1" s="196"/>
      <c r="C1" s="964" t="s">
        <v>272</v>
      </c>
      <c r="D1" s="965"/>
      <c r="E1" s="966"/>
      <c r="F1" s="967" t="s">
        <v>273</v>
      </c>
      <c r="G1" s="967"/>
      <c r="H1" s="968" t="s">
        <v>274</v>
      </c>
      <c r="I1" s="968"/>
      <c r="J1" s="968"/>
      <c r="K1" s="5"/>
      <c r="L1" s="5"/>
      <c r="M1" s="5"/>
      <c r="N1" s="949" t="s">
        <v>275</v>
      </c>
      <c r="O1" s="950"/>
      <c r="P1" s="197">
        <f>Calculadora!B3*P4</f>
        <v>3.8042260651806141</v>
      </c>
    </row>
    <row r="2" spans="1:16" ht="15" thickBot="1">
      <c r="A2" s="198" t="s">
        <v>276</v>
      </c>
      <c r="B2" s="198" t="s">
        <v>14</v>
      </c>
      <c r="C2" s="199" t="s">
        <v>135</v>
      </c>
      <c r="D2" s="199" t="s">
        <v>277</v>
      </c>
      <c r="E2" s="199" t="s">
        <v>278</v>
      </c>
      <c r="F2" s="200" t="s">
        <v>279</v>
      </c>
      <c r="G2" s="200" t="s">
        <v>280</v>
      </c>
      <c r="H2" s="201" t="s">
        <v>266</v>
      </c>
      <c r="I2" s="202" t="s">
        <v>281</v>
      </c>
      <c r="J2" s="5"/>
      <c r="K2" s="5"/>
      <c r="L2" s="5"/>
      <c r="M2" s="5"/>
      <c r="N2" s="951" t="s">
        <v>282</v>
      </c>
      <c r="O2" s="952"/>
      <c r="P2" s="197">
        <f>Calculadora!B3*P5</f>
        <v>1.2360679774997898</v>
      </c>
    </row>
    <row r="3" spans="1:16" ht="15" thickBot="1">
      <c r="A3" s="203" t="s">
        <v>283</v>
      </c>
      <c r="B3" s="204">
        <v>1.8420000000000001</v>
      </c>
      <c r="C3" s="204">
        <v>97.6</v>
      </c>
      <c r="D3" s="204">
        <v>0.63900000000000001</v>
      </c>
      <c r="E3" s="204">
        <v>0.68</v>
      </c>
      <c r="F3" s="205"/>
      <c r="G3" s="205"/>
      <c r="H3" s="206"/>
      <c r="I3" s="207"/>
      <c r="J3" s="208">
        <v>1</v>
      </c>
      <c r="K3" s="5"/>
      <c r="L3" s="5"/>
      <c r="M3" s="5"/>
      <c r="N3" s="5"/>
      <c r="O3" s="5"/>
      <c r="P3" s="5"/>
    </row>
    <row r="4" spans="1:16" ht="15" thickBot="1">
      <c r="A4" s="209" t="s">
        <v>284</v>
      </c>
      <c r="B4" s="210">
        <v>1.82</v>
      </c>
      <c r="C4" s="210">
        <v>98.55</v>
      </c>
      <c r="D4" s="210">
        <v>0.8</v>
      </c>
      <c r="E4" s="210">
        <v>1.24</v>
      </c>
      <c r="F4" s="211"/>
      <c r="G4" s="211"/>
      <c r="H4" s="212"/>
      <c r="I4" s="213"/>
      <c r="J4" s="208">
        <v>0</v>
      </c>
      <c r="K4" s="5"/>
      <c r="L4" s="5"/>
      <c r="M4" s="5"/>
      <c r="N4" s="953" t="s">
        <v>285</v>
      </c>
      <c r="O4" s="954"/>
      <c r="P4" s="197">
        <f>SIN(RADIANS(Calculadora!B4))</f>
        <v>0.95105651629515353</v>
      </c>
    </row>
    <row r="5" spans="1:16" ht="15" thickBot="1">
      <c r="A5" s="203" t="s">
        <v>286</v>
      </c>
      <c r="B5" s="204">
        <v>1.857</v>
      </c>
      <c r="C5" s="288">
        <v>99.844999999999999</v>
      </c>
      <c r="D5" s="204">
        <v>0.82</v>
      </c>
      <c r="E5" s="214">
        <v>1</v>
      </c>
      <c r="F5" s="205"/>
      <c r="G5" s="205"/>
      <c r="H5" s="212"/>
      <c r="I5" s="215"/>
      <c r="J5" s="216" t="s">
        <v>287</v>
      </c>
      <c r="K5" s="5"/>
      <c r="L5" s="5"/>
      <c r="M5" s="5"/>
      <c r="N5" s="953" t="s">
        <v>40</v>
      </c>
      <c r="O5" s="954"/>
      <c r="P5" s="197">
        <f>COS(RADIANS(Calculadora!B4))</f>
        <v>0.30901699437494745</v>
      </c>
    </row>
    <row r="6" spans="1:16" ht="14.25">
      <c r="A6" s="217" t="s">
        <v>288</v>
      </c>
      <c r="B6" s="218">
        <v>2.06</v>
      </c>
      <c r="C6" s="218">
        <v>95.2</v>
      </c>
      <c r="D6" s="218">
        <v>0.79</v>
      </c>
      <c r="E6" s="218">
        <v>0.82</v>
      </c>
      <c r="F6" s="219"/>
      <c r="G6" s="219"/>
      <c r="H6" s="212"/>
      <c r="I6" s="220"/>
      <c r="J6" s="58" t="s">
        <v>289</v>
      </c>
      <c r="K6" s="5"/>
      <c r="L6" s="5"/>
      <c r="M6" s="5"/>
      <c r="N6" s="5"/>
      <c r="O6" s="5"/>
      <c r="P6" s="5"/>
    </row>
    <row r="7" spans="1:16" ht="14.25">
      <c r="A7" s="221" t="s">
        <v>290</v>
      </c>
      <c r="B7" s="222">
        <v>2.097</v>
      </c>
      <c r="C7" s="222">
        <v>98.7</v>
      </c>
      <c r="D7" s="222">
        <v>0.7</v>
      </c>
      <c r="E7" s="222">
        <v>0.8</v>
      </c>
      <c r="F7" s="223"/>
      <c r="G7" s="223"/>
      <c r="H7" s="212"/>
      <c r="I7" s="224"/>
      <c r="J7" s="5" t="s">
        <v>291</v>
      </c>
      <c r="K7" s="5"/>
      <c r="L7" s="5"/>
      <c r="M7" s="5"/>
      <c r="N7" s="5"/>
      <c r="O7" s="5"/>
      <c r="P7" s="5"/>
    </row>
    <row r="8" spans="1:16" ht="14.25">
      <c r="A8" s="217" t="s">
        <v>292</v>
      </c>
      <c r="B8" s="218">
        <v>2.113</v>
      </c>
      <c r="C8" s="218">
        <v>98.2</v>
      </c>
      <c r="D8" s="218">
        <v>0.85</v>
      </c>
      <c r="E8" s="218">
        <v>0.98</v>
      </c>
      <c r="F8" s="219"/>
      <c r="G8" s="219"/>
      <c r="H8" s="212"/>
      <c r="I8" s="5"/>
      <c r="J8" s="5"/>
      <c r="K8" s="5"/>
      <c r="L8" s="5"/>
      <c r="M8" s="5"/>
      <c r="N8" s="5"/>
      <c r="O8" s="5"/>
      <c r="P8" s="5"/>
    </row>
    <row r="9" spans="1:16" ht="14.25">
      <c r="A9" s="217" t="s">
        <v>293</v>
      </c>
      <c r="B9" s="226">
        <v>1.1299999999999999</v>
      </c>
      <c r="C9" s="226">
        <v>99</v>
      </c>
      <c r="D9" s="226">
        <v>0.3</v>
      </c>
      <c r="E9" s="226">
        <v>0.3</v>
      </c>
      <c r="F9" s="225"/>
      <c r="G9" s="225"/>
      <c r="H9" s="212"/>
      <c r="I9" s="5"/>
      <c r="J9" s="5"/>
      <c r="K9" s="5"/>
      <c r="L9" s="5"/>
      <c r="M9" s="5"/>
      <c r="N9" s="5"/>
      <c r="O9" s="5"/>
      <c r="P9" s="5"/>
    </row>
    <row r="10" spans="1:16" ht="14.25">
      <c r="A10" s="227" t="s">
        <v>294</v>
      </c>
      <c r="B10" s="228">
        <v>0.91</v>
      </c>
      <c r="C10" s="228">
        <v>94.6</v>
      </c>
      <c r="D10" s="228">
        <v>0.25</v>
      </c>
      <c r="E10" s="228">
        <v>0.3</v>
      </c>
      <c r="F10" s="229"/>
      <c r="G10" s="229"/>
      <c r="H10" s="212"/>
      <c r="I10" s="5"/>
      <c r="J10" s="5"/>
      <c r="K10" s="5"/>
      <c r="L10" s="5"/>
      <c r="M10" s="5"/>
      <c r="N10" s="5"/>
      <c r="O10" s="5"/>
      <c r="P10" s="5"/>
    </row>
    <row r="11" spans="1:16" ht="14.25">
      <c r="A11" s="230" t="s">
        <v>295</v>
      </c>
      <c r="B11" s="231">
        <v>0.8972</v>
      </c>
      <c r="C11" s="231">
        <v>94.8</v>
      </c>
      <c r="D11" s="231">
        <v>0.25</v>
      </c>
      <c r="E11" s="231">
        <v>0.3</v>
      </c>
      <c r="F11" s="232"/>
      <c r="G11" s="232"/>
      <c r="H11" s="212"/>
      <c r="I11" s="5"/>
      <c r="J11" s="5"/>
      <c r="K11" s="5"/>
      <c r="L11" s="5"/>
      <c r="M11" s="5"/>
      <c r="N11" s="5"/>
      <c r="O11" s="5"/>
      <c r="P11" s="5"/>
    </row>
    <row r="12" spans="1:16" ht="14.25">
      <c r="A12" s="227" t="s">
        <v>296</v>
      </c>
      <c r="B12" s="228">
        <v>0.91800000000000004</v>
      </c>
      <c r="C12" s="228">
        <v>96.2</v>
      </c>
      <c r="D12" s="228">
        <v>0.27500000000000002</v>
      </c>
      <c r="E12" s="228">
        <v>0.3</v>
      </c>
      <c r="F12" s="229"/>
      <c r="G12" s="229"/>
      <c r="H12" s="233"/>
      <c r="I12" s="5"/>
      <c r="J12" s="5"/>
      <c r="K12" s="5"/>
      <c r="L12" s="5"/>
      <c r="M12" s="5"/>
      <c r="N12" s="5"/>
      <c r="O12" s="5"/>
      <c r="P12" s="5"/>
    </row>
    <row r="13" spans="1:16" ht="14.25">
      <c r="A13" s="234" t="s">
        <v>297</v>
      </c>
      <c r="B13" s="235">
        <v>1.81</v>
      </c>
      <c r="C13" s="235">
        <v>99.45</v>
      </c>
      <c r="D13" s="235">
        <v>0.75</v>
      </c>
      <c r="E13" s="235">
        <v>0.9</v>
      </c>
      <c r="F13" s="236"/>
      <c r="G13" s="236"/>
      <c r="H13" s="5"/>
      <c r="I13" s="5"/>
      <c r="J13" s="5"/>
      <c r="K13" s="5"/>
      <c r="L13" s="5"/>
      <c r="M13" s="5"/>
      <c r="N13" s="5"/>
      <c r="O13" s="5"/>
      <c r="P13" s="5"/>
    </row>
    <row r="14" spans="1:16">
      <c r="A14" s="5"/>
      <c r="B14" s="5"/>
      <c r="C14" s="972" t="s">
        <v>298</v>
      </c>
      <c r="D14" s="973"/>
      <c r="E14" s="97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spans="1:16">
      <c r="A15" s="198" t="s">
        <v>276</v>
      </c>
      <c r="B15" s="198" t="s">
        <v>14</v>
      </c>
      <c r="C15" s="199" t="s">
        <v>135</v>
      </c>
      <c r="D15" s="199" t="s">
        <v>277</v>
      </c>
      <c r="E15" s="199" t="s">
        <v>278</v>
      </c>
      <c r="F15" s="200" t="s">
        <v>279</v>
      </c>
      <c r="G15" s="200" t="s">
        <v>280</v>
      </c>
      <c r="H15" s="5"/>
      <c r="I15" s="5"/>
      <c r="J15" s="5"/>
      <c r="K15" s="5"/>
      <c r="L15" s="5"/>
      <c r="M15" s="5"/>
      <c r="N15" s="5"/>
      <c r="O15" s="5"/>
      <c r="P15" s="5"/>
    </row>
    <row r="16" spans="1:16" ht="14.25">
      <c r="A16" s="237" t="s">
        <v>299</v>
      </c>
      <c r="B16" s="219">
        <v>1.73</v>
      </c>
      <c r="C16" s="218">
        <v>100.6</v>
      </c>
      <c r="D16" s="218">
        <v>0.85499999999999998</v>
      </c>
      <c r="E16" s="238">
        <v>1</v>
      </c>
      <c r="F16" s="219"/>
      <c r="G16" s="219"/>
      <c r="H16" s="5" t="s">
        <v>300</v>
      </c>
      <c r="I16" s="5" t="s">
        <v>301</v>
      </c>
      <c r="J16" s="5" t="s">
        <v>302</v>
      </c>
      <c r="K16" s="5" t="s">
        <v>303</v>
      </c>
      <c r="L16" s="5"/>
      <c r="M16" s="5"/>
      <c r="N16" s="5"/>
      <c r="O16" s="5"/>
      <c r="P16" s="5"/>
    </row>
    <row r="17" spans="1:16" ht="14.25">
      <c r="A17" s="239" t="s">
        <v>304</v>
      </c>
      <c r="B17" s="240">
        <v>1.6475</v>
      </c>
      <c r="C17" s="240">
        <v>94.25</v>
      </c>
      <c r="D17" s="240">
        <v>0.54</v>
      </c>
      <c r="E17" s="240">
        <v>0.63800000000000001</v>
      </c>
      <c r="F17" s="241"/>
      <c r="G17" s="241"/>
      <c r="H17" s="5"/>
      <c r="I17" s="5"/>
      <c r="J17" s="5"/>
      <c r="K17" s="5"/>
      <c r="L17" s="5"/>
      <c r="M17" s="5"/>
      <c r="N17" s="5"/>
      <c r="O17" s="5"/>
      <c r="P17" s="5"/>
    </row>
    <row r="18" spans="1:16" ht="14.25">
      <c r="A18" s="242" t="s">
        <v>305</v>
      </c>
      <c r="B18" s="243">
        <v>1.6701999999999999</v>
      </c>
      <c r="C18" s="243">
        <v>95.5</v>
      </c>
      <c r="D18" s="243">
        <v>0.55600000000000005</v>
      </c>
      <c r="E18" s="243">
        <v>0.63</v>
      </c>
      <c r="F18" s="244"/>
      <c r="G18" s="244"/>
      <c r="H18" s="5"/>
      <c r="I18" s="5"/>
      <c r="J18" s="5"/>
      <c r="K18" s="5"/>
      <c r="L18" s="5"/>
      <c r="M18" s="5"/>
      <c r="N18" s="5"/>
      <c r="O18" s="5"/>
      <c r="P18" s="5"/>
    </row>
    <row r="19" spans="1:16" ht="14.25">
      <c r="A19" s="239" t="s">
        <v>306</v>
      </c>
      <c r="B19" s="240">
        <v>1.6830000000000001</v>
      </c>
      <c r="C19" s="240">
        <v>96.8</v>
      </c>
      <c r="D19" s="240">
        <v>0.57499999999999996</v>
      </c>
      <c r="E19" s="240">
        <v>0.62</v>
      </c>
      <c r="F19" s="241"/>
      <c r="G19" s="241"/>
      <c r="H19" s="5"/>
      <c r="I19" s="5"/>
      <c r="J19" s="5"/>
      <c r="K19" s="5"/>
      <c r="L19" s="5"/>
      <c r="M19" s="5"/>
      <c r="N19" s="5"/>
      <c r="O19" s="5"/>
      <c r="P19" s="5"/>
    </row>
    <row r="20" spans="1:16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>
      <c r="A21" s="5"/>
      <c r="B21" s="5"/>
      <c r="C21" s="955" t="s">
        <v>307</v>
      </c>
      <c r="D21" s="956"/>
      <c r="E21" s="95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>
      <c r="A22" s="198" t="s">
        <v>276</v>
      </c>
      <c r="B22" s="198" t="s">
        <v>14</v>
      </c>
      <c r="C22" s="199" t="s">
        <v>135</v>
      </c>
      <c r="D22" s="199" t="s">
        <v>277</v>
      </c>
      <c r="E22" s="199" t="s">
        <v>278</v>
      </c>
      <c r="F22" s="200" t="s">
        <v>279</v>
      </c>
      <c r="G22" s="200" t="s">
        <v>280</v>
      </c>
      <c r="H22" s="5"/>
      <c r="I22" s="5"/>
      <c r="J22" s="5"/>
      <c r="K22" s="5"/>
      <c r="L22" s="5"/>
      <c r="M22" s="5"/>
      <c r="N22" s="5"/>
      <c r="O22" s="5"/>
      <c r="P22" s="5"/>
    </row>
    <row r="23" spans="1:16" ht="14.25">
      <c r="A23" s="245" t="s">
        <v>308</v>
      </c>
      <c r="B23" s="246">
        <v>1.321</v>
      </c>
      <c r="C23" s="246">
        <v>98.5</v>
      </c>
      <c r="D23" s="246">
        <v>0.39</v>
      </c>
      <c r="E23" s="246">
        <v>0.46800000000000003</v>
      </c>
      <c r="F23" s="247"/>
      <c r="G23" s="248"/>
      <c r="H23" s="5"/>
      <c r="I23" s="5"/>
      <c r="J23" s="5"/>
      <c r="K23" s="5"/>
      <c r="L23" s="5"/>
      <c r="M23" s="5"/>
      <c r="N23" s="5"/>
      <c r="O23" s="5"/>
      <c r="P23" s="5"/>
    </row>
    <row r="24" spans="1:16" ht="14.25">
      <c r="A24" s="249" t="s">
        <v>309</v>
      </c>
      <c r="B24" s="226">
        <v>1.34</v>
      </c>
      <c r="C24" s="226">
        <v>100</v>
      </c>
      <c r="D24" s="250"/>
      <c r="E24" s="251"/>
      <c r="F24" s="252"/>
      <c r="G24" s="225"/>
      <c r="H24" s="5"/>
      <c r="I24" s="5"/>
      <c r="J24" s="5"/>
      <c r="K24" s="5"/>
      <c r="L24" s="5"/>
      <c r="M24" s="5"/>
      <c r="N24" s="5"/>
      <c r="O24" s="5"/>
      <c r="P24" s="5"/>
    </row>
    <row r="25" spans="1:16" ht="14.25">
      <c r="A25" s="253" t="s">
        <v>310</v>
      </c>
      <c r="B25" s="254">
        <v>1.742</v>
      </c>
      <c r="C25" s="254">
        <v>99</v>
      </c>
      <c r="D25" s="254">
        <v>1.05</v>
      </c>
      <c r="E25" s="254">
        <v>1</v>
      </c>
      <c r="F25" s="255"/>
      <c r="G25" s="256"/>
      <c r="H25" s="5"/>
      <c r="I25" s="5"/>
      <c r="J25" s="5"/>
      <c r="K25" s="5"/>
      <c r="L25" s="5"/>
      <c r="M25" s="5"/>
      <c r="N25" s="5"/>
      <c r="O25" s="5"/>
      <c r="P25" s="5"/>
    </row>
    <row r="26" spans="1:16" ht="14.25">
      <c r="A26" s="217" t="s">
        <v>311</v>
      </c>
      <c r="B26" s="218">
        <v>1.68</v>
      </c>
      <c r="C26" s="218">
        <v>95.7</v>
      </c>
      <c r="D26" s="218">
        <v>0.76500000000000001</v>
      </c>
      <c r="E26" s="218">
        <v>0.8</v>
      </c>
      <c r="F26" s="257"/>
      <c r="G26" s="257"/>
      <c r="H26" s="5"/>
      <c r="I26" s="5"/>
      <c r="J26" s="5"/>
      <c r="K26" s="5"/>
      <c r="L26" s="5"/>
      <c r="M26" s="5"/>
      <c r="N26" s="5"/>
      <c r="O26" s="5"/>
      <c r="P26" s="5"/>
    </row>
    <row r="27" spans="1:16" ht="14.25">
      <c r="A27" s="221" t="s">
        <v>312</v>
      </c>
      <c r="B27" s="222">
        <v>1.732</v>
      </c>
      <c r="C27" s="222">
        <v>101.7</v>
      </c>
      <c r="D27" s="222">
        <v>0.93</v>
      </c>
      <c r="E27" s="258">
        <v>1</v>
      </c>
      <c r="F27" s="259"/>
      <c r="G27" s="259"/>
      <c r="H27" s="5"/>
      <c r="I27" s="5"/>
      <c r="J27" s="5"/>
      <c r="K27" s="5"/>
      <c r="L27" s="5"/>
      <c r="M27" s="5"/>
      <c r="N27" s="5"/>
      <c r="O27" s="5"/>
      <c r="P27" s="5"/>
    </row>
    <row r="28" spans="1:16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spans="1:16">
      <c r="A29" s="5"/>
      <c r="B29" s="5"/>
      <c r="C29" s="975" t="s">
        <v>265</v>
      </c>
      <c r="D29" s="976"/>
      <c r="E29" s="977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spans="1:16">
      <c r="A30" s="198" t="s">
        <v>276</v>
      </c>
      <c r="B30" s="198" t="s">
        <v>14</v>
      </c>
      <c r="C30" s="199" t="s">
        <v>135</v>
      </c>
      <c r="D30" s="199" t="s">
        <v>277</v>
      </c>
      <c r="E30" s="199" t="s">
        <v>278</v>
      </c>
      <c r="F30" s="200" t="s">
        <v>279</v>
      </c>
      <c r="G30" s="200" t="s">
        <v>280</v>
      </c>
      <c r="H30" s="5"/>
      <c r="I30" s="5"/>
      <c r="J30" s="5"/>
      <c r="K30" s="5"/>
      <c r="L30" s="5"/>
      <c r="M30" s="5"/>
      <c r="N30" s="5"/>
      <c r="O30" s="5"/>
      <c r="P30" s="5"/>
    </row>
    <row r="31" spans="1:16" ht="14.25">
      <c r="A31" s="260" t="s">
        <v>313</v>
      </c>
      <c r="B31" s="260">
        <v>1.01</v>
      </c>
      <c r="C31" s="260">
        <v>90.2</v>
      </c>
      <c r="D31" s="260">
        <v>0.79</v>
      </c>
      <c r="E31" s="260">
        <v>1.0349999999999999</v>
      </c>
      <c r="F31" s="261"/>
      <c r="G31" s="261"/>
      <c r="H31" s="5" t="s">
        <v>314</v>
      </c>
      <c r="I31" s="5"/>
      <c r="J31" s="5"/>
      <c r="K31" s="5"/>
      <c r="L31" s="5"/>
      <c r="M31" s="5"/>
      <c r="N31" s="5"/>
      <c r="O31" s="5"/>
      <c r="P31" s="5"/>
    </row>
    <row r="32" spans="1:16" ht="14.25">
      <c r="A32" s="240" t="s">
        <v>315</v>
      </c>
      <c r="B32" s="240">
        <v>1.2629999999999999</v>
      </c>
      <c r="C32" s="240">
        <v>86.85</v>
      </c>
      <c r="D32" s="240">
        <v>0.6</v>
      </c>
      <c r="E32" s="240">
        <v>0.65</v>
      </c>
      <c r="F32" s="241"/>
      <c r="G32" s="241"/>
      <c r="H32" s="5" t="s">
        <v>316</v>
      </c>
      <c r="I32" s="5"/>
      <c r="J32" s="978" t="s">
        <v>317</v>
      </c>
      <c r="K32" s="978"/>
      <c r="L32" s="5"/>
      <c r="M32" s="5"/>
      <c r="N32" s="5"/>
      <c r="O32" s="5"/>
      <c r="P32" s="5"/>
    </row>
    <row r="33" spans="1:16" ht="14.25">
      <c r="A33" s="243" t="s">
        <v>318</v>
      </c>
      <c r="B33" s="243">
        <v>1.2484999999999999</v>
      </c>
      <c r="C33" s="243">
        <v>96.8</v>
      </c>
      <c r="D33" s="243">
        <v>0.7</v>
      </c>
      <c r="E33" s="243">
        <v>0.8</v>
      </c>
      <c r="F33" s="244"/>
      <c r="G33" s="244"/>
      <c r="H33" s="5" t="s">
        <v>319</v>
      </c>
      <c r="I33" s="5"/>
      <c r="J33" s="80" t="s">
        <v>320</v>
      </c>
      <c r="K33" s="80" t="s">
        <v>321</v>
      </c>
      <c r="L33" s="5"/>
      <c r="M33" s="5"/>
      <c r="N33" s="5"/>
      <c r="O33" s="5"/>
      <c r="P33" s="5"/>
    </row>
    <row r="34" spans="1:16" ht="14.25">
      <c r="A34" s="262" t="s">
        <v>322</v>
      </c>
      <c r="B34" s="262">
        <v>1.268</v>
      </c>
      <c r="C34" s="262">
        <v>97.4</v>
      </c>
      <c r="D34" s="262">
        <v>0.8</v>
      </c>
      <c r="E34" s="262">
        <v>0.6</v>
      </c>
      <c r="F34" s="263"/>
      <c r="G34" s="263"/>
      <c r="H34" s="5" t="s">
        <v>323</v>
      </c>
      <c r="I34" s="5"/>
      <c r="J34" s="80">
        <f>MOD('HIO''s Speciais'!N24,20/72)</f>
        <v>0.17710274345843491</v>
      </c>
      <c r="K34" s="80">
        <f>MOD('HIO''s Speciais'!O24,20/72)</f>
        <v>5.4846014347152749E-2</v>
      </c>
      <c r="L34" s="5"/>
      <c r="M34" s="5"/>
      <c r="N34" s="5"/>
      <c r="O34" s="5"/>
      <c r="P34" s="5"/>
    </row>
    <row r="35" spans="1:16" ht="14.25">
      <c r="A35" s="264" t="s">
        <v>324</v>
      </c>
      <c r="B35" s="264">
        <v>1.3420000000000001</v>
      </c>
      <c r="C35" s="264">
        <v>100.8</v>
      </c>
      <c r="D35" s="264">
        <v>0.44</v>
      </c>
      <c r="E35" s="265">
        <v>1</v>
      </c>
      <c r="F35" s="266"/>
      <c r="G35" s="266"/>
      <c r="H35" s="5" t="s">
        <v>314</v>
      </c>
      <c r="I35" s="5"/>
      <c r="J35" s="80">
        <f>J34/(20/72)</f>
        <v>0.63756987645036567</v>
      </c>
      <c r="K35" s="80">
        <f>K34/(20/72)</f>
        <v>0.19744565164974989</v>
      </c>
      <c r="L35" s="5"/>
      <c r="M35" s="5"/>
      <c r="N35" s="5"/>
      <c r="O35" s="5"/>
      <c r="P35" s="5"/>
    </row>
    <row r="36" spans="1:16" ht="14.25">
      <c r="A36" s="260" t="s">
        <v>325</v>
      </c>
      <c r="B36" s="260">
        <v>1.232</v>
      </c>
      <c r="C36" s="260">
        <v>85.8</v>
      </c>
      <c r="D36" s="260">
        <v>0.5</v>
      </c>
      <c r="E36" s="260">
        <v>0.75</v>
      </c>
      <c r="F36" s="261"/>
      <c r="G36" s="261"/>
      <c r="H36" s="5" t="s">
        <v>316</v>
      </c>
      <c r="I36" s="5"/>
      <c r="J36" s="80">
        <f>IF(J35&lt;0.288,ROUNDDOWN(J35,0),ROUNDUP(J35,0))</f>
        <v>1</v>
      </c>
      <c r="K36" s="80">
        <f>IF(K35&lt;0.288,ROUNDDOWN(K35,0),ROUNDUP(K35,0))</f>
        <v>0</v>
      </c>
      <c r="L36" s="5"/>
      <c r="M36" s="5"/>
      <c r="N36" s="5"/>
      <c r="O36" s="5"/>
      <c r="P36" s="5"/>
    </row>
    <row r="37" spans="1:16" ht="14.25">
      <c r="A37" s="267" t="s">
        <v>326</v>
      </c>
      <c r="B37" s="267">
        <v>1.508</v>
      </c>
      <c r="C37" s="267">
        <v>95.4</v>
      </c>
      <c r="D37" s="267">
        <v>1</v>
      </c>
      <c r="E37" s="267">
        <v>1</v>
      </c>
      <c r="F37" s="268"/>
      <c r="G37" s="268"/>
      <c r="H37" s="5" t="s">
        <v>327</v>
      </c>
      <c r="I37" s="5"/>
      <c r="J37" s="80">
        <f>IF(J34&lt;0.08,9,J38)</f>
        <v>9</v>
      </c>
      <c r="K37" s="80">
        <f>IF(K34&lt;0.08,9,K38)</f>
        <v>9</v>
      </c>
      <c r="L37" s="5"/>
      <c r="M37" s="5"/>
      <c r="N37" s="5"/>
      <c r="O37" s="5"/>
      <c r="P37" s="5"/>
    </row>
    <row r="38" spans="1:16" ht="14.25">
      <c r="A38" s="218" t="s">
        <v>328</v>
      </c>
      <c r="B38" s="218">
        <v>0.83599999999999997</v>
      </c>
      <c r="C38" s="218">
        <v>91.8</v>
      </c>
      <c r="D38" s="218">
        <v>0.6</v>
      </c>
      <c r="E38" s="218">
        <v>1</v>
      </c>
      <c r="F38" s="219"/>
      <c r="G38" s="219"/>
      <c r="H38" s="5" t="s">
        <v>323</v>
      </c>
      <c r="I38" s="5"/>
      <c r="J38" s="80">
        <f>IF(J34&gt;(20/72)-0.08,9.5,9)</f>
        <v>9</v>
      </c>
      <c r="K38" s="80">
        <f>IF(K34&gt;(20/72)-0.08,9.5,9)</f>
        <v>9</v>
      </c>
      <c r="L38" s="5"/>
      <c r="M38" s="5"/>
      <c r="N38" s="5"/>
      <c r="O38" s="5"/>
      <c r="P38" s="5"/>
    </row>
    <row r="39" spans="1:16" ht="14.25">
      <c r="A39" s="269" t="s">
        <v>329</v>
      </c>
      <c r="B39" s="222">
        <v>0.872</v>
      </c>
      <c r="C39" s="222">
        <v>92.4</v>
      </c>
      <c r="D39" s="222">
        <v>0.6</v>
      </c>
      <c r="E39" s="269">
        <v>0.7</v>
      </c>
      <c r="F39" s="223"/>
      <c r="G39" s="223"/>
      <c r="H39" s="5" t="s">
        <v>316</v>
      </c>
      <c r="I39" s="5" t="s">
        <v>330</v>
      </c>
      <c r="J39" s="5"/>
      <c r="K39" s="5"/>
      <c r="L39" s="5"/>
      <c r="M39" s="5"/>
      <c r="N39" s="5"/>
      <c r="O39" s="5"/>
      <c r="P39" s="5"/>
    </row>
    <row r="40" spans="1:16" ht="14.25">
      <c r="A40" s="270" t="s">
        <v>331</v>
      </c>
      <c r="B40" s="271">
        <v>1.1000000000000001</v>
      </c>
      <c r="C40" s="271">
        <v>87.4</v>
      </c>
      <c r="D40" s="272">
        <v>0.45</v>
      </c>
      <c r="E40" s="273">
        <v>0.35</v>
      </c>
      <c r="F40" s="274"/>
      <c r="G40" s="274"/>
      <c r="H40" s="5" t="s">
        <v>332</v>
      </c>
      <c r="I40" s="5"/>
      <c r="J40" s="5"/>
      <c r="K40" s="5"/>
      <c r="L40" s="5"/>
      <c r="M40" s="5"/>
      <c r="N40" s="5"/>
      <c r="O40" s="5"/>
      <c r="P40" s="5"/>
    </row>
    <row r="41" spans="1:1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spans="1:16">
      <c r="A42" s="5"/>
      <c r="B42" s="5"/>
      <c r="C42" s="961" t="s">
        <v>333</v>
      </c>
      <c r="D42" s="962"/>
      <c r="E42" s="963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spans="1:16">
      <c r="A43" s="198" t="s">
        <v>276</v>
      </c>
      <c r="B43" s="198" t="s">
        <v>14</v>
      </c>
      <c r="C43" s="199" t="s">
        <v>135</v>
      </c>
      <c r="D43" s="199" t="s">
        <v>277</v>
      </c>
      <c r="E43" s="199" t="s">
        <v>278</v>
      </c>
      <c r="F43" s="200" t="s">
        <v>279</v>
      </c>
      <c r="G43" s="200" t="s">
        <v>280</v>
      </c>
      <c r="H43" s="5"/>
      <c r="I43" s="5"/>
      <c r="J43" s="5"/>
      <c r="K43" s="5"/>
      <c r="L43" s="5"/>
      <c r="M43" s="5"/>
      <c r="N43" s="5"/>
      <c r="O43" s="5"/>
      <c r="P43" s="5"/>
    </row>
    <row r="44" spans="1:16" ht="14.25">
      <c r="A44" s="231" t="s">
        <v>334</v>
      </c>
      <c r="B44" s="231">
        <v>1.748</v>
      </c>
      <c r="C44" s="231">
        <v>99.6</v>
      </c>
      <c r="D44" s="231">
        <v>0.81499999999999995</v>
      </c>
      <c r="E44" s="275">
        <v>1</v>
      </c>
      <c r="F44" s="232"/>
      <c r="G44" s="232"/>
      <c r="H44" s="5"/>
      <c r="I44" s="5"/>
      <c r="J44" s="5"/>
      <c r="K44" s="5"/>
      <c r="L44" s="5"/>
      <c r="M44" s="5"/>
      <c r="N44" s="5"/>
      <c r="O44" s="5"/>
      <c r="P44" s="5"/>
    </row>
    <row r="45" spans="1:16" ht="14.25">
      <c r="A45" s="276" t="s">
        <v>335</v>
      </c>
      <c r="B45" s="276">
        <v>1.758</v>
      </c>
      <c r="C45" s="276">
        <v>102</v>
      </c>
      <c r="D45" s="276">
        <v>0.92</v>
      </c>
      <c r="E45" s="277">
        <v>1</v>
      </c>
      <c r="F45" s="236"/>
      <c r="G45" s="236"/>
      <c r="H45" s="5"/>
      <c r="I45" s="5"/>
      <c r="J45" s="5"/>
      <c r="K45" s="5"/>
      <c r="L45" s="5"/>
      <c r="M45" s="5"/>
      <c r="N45" s="5"/>
      <c r="O45" s="5"/>
      <c r="P45" s="5"/>
    </row>
    <row r="46" spans="1:16" ht="14.25">
      <c r="A46" s="278" t="s">
        <v>336</v>
      </c>
      <c r="B46" s="278">
        <v>1.76</v>
      </c>
      <c r="C46" s="278">
        <v>102.3</v>
      </c>
      <c r="D46" s="278">
        <v>0.92</v>
      </c>
      <c r="E46" s="279">
        <v>1</v>
      </c>
      <c r="F46" s="280"/>
      <c r="G46" s="280"/>
      <c r="H46" s="5"/>
      <c r="I46" s="5"/>
      <c r="J46" s="5"/>
      <c r="K46" s="5"/>
      <c r="L46" s="5"/>
      <c r="M46" s="5"/>
      <c r="N46" s="5"/>
      <c r="O46" s="5"/>
      <c r="P46" s="5"/>
    </row>
    <row r="47" spans="1:1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spans="1:16">
      <c r="A48" s="5"/>
      <c r="B48" s="5"/>
      <c r="C48" s="955" t="s">
        <v>337</v>
      </c>
      <c r="D48" s="956"/>
      <c r="E48" s="957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spans="1:16">
      <c r="A49" s="198" t="s">
        <v>276</v>
      </c>
      <c r="B49" s="198" t="s">
        <v>14</v>
      </c>
      <c r="C49" s="199" t="s">
        <v>135</v>
      </c>
      <c r="D49" s="199" t="s">
        <v>277</v>
      </c>
      <c r="E49" s="199" t="s">
        <v>278</v>
      </c>
      <c r="F49" s="200" t="s">
        <v>279</v>
      </c>
      <c r="G49" s="200" t="s">
        <v>280</v>
      </c>
      <c r="H49" s="5"/>
      <c r="I49" s="5"/>
      <c r="J49" s="5"/>
      <c r="K49" s="5"/>
      <c r="L49" s="5"/>
      <c r="M49" s="5"/>
      <c r="N49" s="5"/>
      <c r="O49" s="5"/>
      <c r="P49" s="5"/>
    </row>
    <row r="50" spans="1:16" ht="14.25">
      <c r="A50" s="226" t="s">
        <v>338</v>
      </c>
      <c r="B50" s="226">
        <v>1.849</v>
      </c>
      <c r="C50" s="226">
        <v>104.7</v>
      </c>
      <c r="D50" s="226">
        <v>1.02</v>
      </c>
      <c r="E50" s="281">
        <v>1</v>
      </c>
      <c r="F50" s="225"/>
      <c r="G50" s="225"/>
      <c r="H50" s="5"/>
      <c r="I50" s="5"/>
      <c r="J50" s="5"/>
      <c r="K50" s="5"/>
      <c r="L50" s="5"/>
      <c r="M50" s="5"/>
      <c r="N50" s="5"/>
      <c r="O50" s="5"/>
      <c r="P50" s="5"/>
    </row>
    <row r="51" spans="1:1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spans="1:16">
      <c r="A52" s="5"/>
      <c r="B52" s="5"/>
      <c r="C52" s="958" t="s">
        <v>339</v>
      </c>
      <c r="D52" s="959"/>
      <c r="E52" s="960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spans="1:16">
      <c r="A53" s="198" t="s">
        <v>276</v>
      </c>
      <c r="B53" s="198" t="s">
        <v>14</v>
      </c>
      <c r="C53" s="199" t="s">
        <v>135</v>
      </c>
      <c r="D53" s="199" t="s">
        <v>277</v>
      </c>
      <c r="E53" s="199" t="s">
        <v>278</v>
      </c>
      <c r="F53" s="200" t="s">
        <v>279</v>
      </c>
      <c r="G53" s="200" t="s">
        <v>280</v>
      </c>
      <c r="H53" s="5"/>
      <c r="I53" s="5"/>
      <c r="J53" s="5"/>
      <c r="K53" s="5"/>
      <c r="L53" s="5"/>
      <c r="M53" s="5"/>
      <c r="N53" s="5"/>
      <c r="O53" s="5"/>
      <c r="P53" s="5"/>
    </row>
    <row r="54" spans="1:16" ht="14.25">
      <c r="A54" s="240" t="s">
        <v>340</v>
      </c>
      <c r="B54" s="240">
        <v>1.845</v>
      </c>
      <c r="C54" s="240">
        <v>100.55</v>
      </c>
      <c r="D54" s="240">
        <v>0.98</v>
      </c>
      <c r="E54" s="282">
        <v>1</v>
      </c>
      <c r="F54" s="241"/>
      <c r="G54" s="241"/>
      <c r="H54" s="5"/>
      <c r="I54" s="5"/>
      <c r="J54" s="5"/>
      <c r="K54" s="5"/>
      <c r="L54" s="5"/>
      <c r="M54" s="5"/>
      <c r="N54" s="5"/>
      <c r="O54" s="5"/>
      <c r="P54" s="5"/>
    </row>
    <row r="55" spans="1:16" ht="14.25">
      <c r="A55" s="264" t="s">
        <v>341</v>
      </c>
      <c r="B55" s="264">
        <v>1.8480000000000001</v>
      </c>
      <c r="C55" s="264">
        <v>102.78</v>
      </c>
      <c r="D55" s="264">
        <v>0.98199999999999998</v>
      </c>
      <c r="E55" s="265">
        <v>1</v>
      </c>
      <c r="F55" s="266"/>
      <c r="G55" s="266"/>
      <c r="H55" s="5"/>
      <c r="I55" s="5"/>
      <c r="J55" s="5"/>
      <c r="K55" s="5"/>
      <c r="L55" s="5"/>
      <c r="M55" s="5"/>
      <c r="N55" s="5"/>
      <c r="O55" s="5"/>
      <c r="P55" s="5"/>
    </row>
    <row r="56" spans="1:1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spans="1:16">
      <c r="A57" s="5"/>
      <c r="B57" s="5"/>
      <c r="C57" s="969" t="s">
        <v>342</v>
      </c>
      <c r="D57" s="970"/>
      <c r="E57" s="971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spans="1:16">
      <c r="A58" s="198" t="s">
        <v>276</v>
      </c>
      <c r="B58" s="198" t="s">
        <v>14</v>
      </c>
      <c r="C58" s="199" t="s">
        <v>135</v>
      </c>
      <c r="D58" s="199" t="s">
        <v>277</v>
      </c>
      <c r="E58" s="199" t="s">
        <v>278</v>
      </c>
      <c r="F58" s="200" t="s">
        <v>279</v>
      </c>
      <c r="G58" s="200" t="s">
        <v>280</v>
      </c>
      <c r="H58" s="283"/>
      <c r="I58" s="5"/>
      <c r="J58" s="5"/>
      <c r="K58" s="5"/>
      <c r="L58" s="5"/>
      <c r="M58" s="5"/>
      <c r="N58" s="5"/>
      <c r="O58" s="5"/>
      <c r="P58" s="5"/>
    </row>
    <row r="59" spans="1:16" ht="14.25">
      <c r="A59" s="228" t="s">
        <v>343</v>
      </c>
      <c r="B59" s="228">
        <v>1.8665</v>
      </c>
      <c r="C59" s="228">
        <v>101.35</v>
      </c>
      <c r="D59" s="228">
        <v>0.91</v>
      </c>
      <c r="E59" s="284">
        <v>1</v>
      </c>
      <c r="F59" s="285"/>
      <c r="G59" s="285"/>
      <c r="H59" s="5"/>
      <c r="I59" s="5"/>
      <c r="J59" s="5"/>
      <c r="K59" s="5"/>
      <c r="L59" s="5"/>
      <c r="M59" s="5"/>
      <c r="N59" s="5"/>
      <c r="O59" s="5"/>
      <c r="P59" s="5"/>
    </row>
    <row r="61" spans="1:16">
      <c r="A61" s="5"/>
      <c r="B61" s="5"/>
      <c r="C61" s="958" t="s">
        <v>403</v>
      </c>
      <c r="D61" s="959"/>
      <c r="E61" s="960"/>
      <c r="F61" s="5"/>
      <c r="G61" s="5"/>
    </row>
    <row r="62" spans="1:16">
      <c r="A62" s="198" t="s">
        <v>276</v>
      </c>
      <c r="B62" s="198" t="s">
        <v>14</v>
      </c>
      <c r="C62" s="199" t="s">
        <v>135</v>
      </c>
      <c r="D62" s="199" t="s">
        <v>277</v>
      </c>
      <c r="E62" s="199" t="s">
        <v>278</v>
      </c>
      <c r="F62" s="200" t="s">
        <v>279</v>
      </c>
      <c r="G62" s="200" t="s">
        <v>280</v>
      </c>
    </row>
    <row r="63" spans="1:16" ht="14.25">
      <c r="A63" s="240" t="s">
        <v>404</v>
      </c>
      <c r="B63" s="240">
        <v>1.07</v>
      </c>
      <c r="C63" s="240">
        <v>89.8</v>
      </c>
      <c r="D63" s="240">
        <v>0.3</v>
      </c>
      <c r="E63" s="240">
        <v>0.2</v>
      </c>
      <c r="F63" s="241"/>
      <c r="G63" s="241"/>
    </row>
    <row r="64" spans="1:16" ht="14.25">
      <c r="A64" s="264"/>
      <c r="B64" s="264"/>
      <c r="C64" s="264"/>
      <c r="D64" s="264"/>
      <c r="E64" s="265"/>
      <c r="F64" s="266"/>
      <c r="G64" s="266"/>
    </row>
  </sheetData>
  <mergeCells count="16">
    <mergeCell ref="C61:E61"/>
    <mergeCell ref="C1:E1"/>
    <mergeCell ref="F1:G1"/>
    <mergeCell ref="H1:J1"/>
    <mergeCell ref="C57:E57"/>
    <mergeCell ref="C14:E14"/>
    <mergeCell ref="C21:E21"/>
    <mergeCell ref="C29:E29"/>
    <mergeCell ref="J32:K32"/>
    <mergeCell ref="N1:O1"/>
    <mergeCell ref="N2:O2"/>
    <mergeCell ref="N4:O4"/>
    <mergeCell ref="C48:E48"/>
    <mergeCell ref="C52:E52"/>
    <mergeCell ref="C42:E42"/>
    <mergeCell ref="N5:O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C704"/>
  <sheetViews>
    <sheetView workbookViewId="0">
      <selection activeCell="D13" sqref="D13"/>
    </sheetView>
  </sheetViews>
  <sheetFormatPr defaultRowHeight="12.75"/>
  <cols>
    <col min="1" max="4" width="9.140625" style="88"/>
    <col min="5" max="5" width="9.140625" style="88" customWidth="1"/>
    <col min="6" max="22" width="9.140625" style="88"/>
    <col min="23" max="23" width="18.28515625" style="88" customWidth="1"/>
    <col min="24" max="24" width="9.140625" style="88" customWidth="1"/>
    <col min="25" max="16384" width="9.140625" style="88"/>
  </cols>
  <sheetData>
    <row r="1" spans="1:43" ht="15" thickBot="1">
      <c r="A1" s="980" t="s">
        <v>398</v>
      </c>
      <c r="B1" s="980"/>
      <c r="C1" s="392"/>
      <c r="D1" s="392"/>
      <c r="E1" s="392"/>
      <c r="F1" s="392"/>
      <c r="G1" s="392"/>
      <c r="H1" s="392"/>
      <c r="I1" s="392"/>
      <c r="J1" s="392"/>
      <c r="K1" s="392"/>
      <c r="L1" s="392"/>
      <c r="M1" s="392"/>
      <c r="N1" s="392"/>
      <c r="O1" s="392"/>
      <c r="P1" s="392"/>
      <c r="R1" s="393" t="s">
        <v>399</v>
      </c>
      <c r="W1" s="981" t="s">
        <v>145</v>
      </c>
      <c r="X1" s="982"/>
      <c r="AA1" s="983" t="s">
        <v>146</v>
      </c>
      <c r="AB1" s="984"/>
      <c r="AC1" s="984"/>
      <c r="AD1" s="984"/>
      <c r="AE1" s="984"/>
      <c r="AF1" s="984"/>
      <c r="AG1" s="984"/>
      <c r="AH1" s="985"/>
      <c r="AJ1" s="986" t="s">
        <v>147</v>
      </c>
      <c r="AK1" s="986"/>
      <c r="AL1" s="986"/>
      <c r="AM1" s="986"/>
      <c r="AN1" s="986"/>
      <c r="AO1" s="986"/>
      <c r="AP1" s="986"/>
      <c r="AQ1" s="986"/>
    </row>
    <row r="2" spans="1:43" ht="14.25">
      <c r="A2" s="392"/>
      <c r="B2" s="392"/>
      <c r="C2" s="392"/>
      <c r="D2" s="392"/>
      <c r="E2" s="392"/>
      <c r="F2" s="392"/>
      <c r="G2" s="392"/>
      <c r="H2" s="392"/>
      <c r="I2" s="392"/>
      <c r="J2" s="392"/>
      <c r="K2" s="392"/>
      <c r="L2" s="392"/>
      <c r="M2" s="392"/>
      <c r="N2" s="392"/>
      <c r="O2" s="392"/>
      <c r="P2" s="392"/>
      <c r="R2" s="394">
        <f t="shared" ref="R2:R65" si="0">R3-(R$362*0.2/72)</f>
        <v>8.4676710088160689E-13</v>
      </c>
      <c r="W2" s="987"/>
      <c r="X2" s="988"/>
      <c r="AA2" s="90" t="s">
        <v>148</v>
      </c>
      <c r="AB2" s="91" t="s">
        <v>149</v>
      </c>
      <c r="AC2" s="91" t="s">
        <v>150</v>
      </c>
      <c r="AD2" s="91" t="s">
        <v>151</v>
      </c>
      <c r="AE2" s="91" t="s">
        <v>152</v>
      </c>
      <c r="AF2" s="91" t="s">
        <v>153</v>
      </c>
      <c r="AG2" s="91" t="s">
        <v>154</v>
      </c>
      <c r="AH2" s="92" t="s">
        <v>155</v>
      </c>
      <c r="AJ2" s="93" t="s">
        <v>156</v>
      </c>
      <c r="AK2" s="94" t="s">
        <v>157</v>
      </c>
      <c r="AL2" s="94" t="s">
        <v>158</v>
      </c>
      <c r="AM2" s="94" t="s">
        <v>159</v>
      </c>
      <c r="AN2" s="94" t="s">
        <v>160</v>
      </c>
      <c r="AO2" s="94" t="s">
        <v>161</v>
      </c>
      <c r="AP2" s="94" t="s">
        <v>162</v>
      </c>
      <c r="AQ2" s="95" t="s">
        <v>163</v>
      </c>
    </row>
    <row r="3" spans="1:43" ht="14.25">
      <c r="A3" s="395" t="s">
        <v>164</v>
      </c>
      <c r="B3" s="396">
        <f>Calculadora!$B$1</f>
        <v>131.55000000000001</v>
      </c>
      <c r="C3" s="397"/>
      <c r="D3" s="979" t="s">
        <v>400</v>
      </c>
      <c r="E3" s="979"/>
      <c r="F3" s="398">
        <f>F12/0.217</f>
        <v>14.434092710084162</v>
      </c>
      <c r="G3" s="398"/>
      <c r="H3" s="397"/>
      <c r="I3" s="395" t="s">
        <v>164</v>
      </c>
      <c r="J3" s="396">
        <f>Calculadora!$B$1</f>
        <v>131.55000000000001</v>
      </c>
      <c r="K3" s="397"/>
      <c r="L3" s="979" t="s">
        <v>400</v>
      </c>
      <c r="M3" s="979"/>
      <c r="N3" s="398">
        <f>N12/0.217</f>
        <v>14.434092710084162</v>
      </c>
      <c r="O3" s="398"/>
      <c r="P3" s="398"/>
      <c r="R3" s="394">
        <f t="shared" si="0"/>
        <v>0.38888888888973566</v>
      </c>
      <c r="W3" s="96" t="s">
        <v>0</v>
      </c>
      <c r="X3" s="97">
        <f>'[2]Calc 268y'!B3</f>
        <v>-8.34</v>
      </c>
      <c r="AA3" s="89">
        <f t="shared" ref="AA3:AH3" si="1">AA67</f>
        <v>1.1100000000000001</v>
      </c>
      <c r="AB3" s="89">
        <f t="shared" si="1"/>
        <v>1.2250000000000001</v>
      </c>
      <c r="AC3" s="89">
        <f t="shared" si="1"/>
        <v>1.32</v>
      </c>
      <c r="AD3" s="89">
        <f t="shared" si="1"/>
        <v>1.42</v>
      </c>
      <c r="AE3" s="89">
        <f t="shared" si="1"/>
        <v>1.45</v>
      </c>
      <c r="AF3" s="89">
        <f t="shared" si="1"/>
        <v>1.47</v>
      </c>
      <c r="AG3" s="89">
        <f t="shared" si="1"/>
        <v>1.49</v>
      </c>
      <c r="AH3" s="89">
        <f t="shared" si="1"/>
        <v>1.54</v>
      </c>
      <c r="AI3" s="98">
        <v>-88</v>
      </c>
      <c r="AJ3" s="93">
        <v>1.1000000000000001</v>
      </c>
      <c r="AK3" s="94">
        <v>1.1000000000000001</v>
      </c>
      <c r="AL3" s="94">
        <v>1.1000000000000001</v>
      </c>
      <c r="AM3" s="94">
        <v>1.1000000000000001</v>
      </c>
      <c r="AN3" s="94">
        <v>1.1000000000000001</v>
      </c>
      <c r="AO3" s="94">
        <v>1.1000000000000001</v>
      </c>
      <c r="AP3" s="94">
        <v>1.1000000000000001</v>
      </c>
      <c r="AQ3" s="95">
        <v>1.1000000000000001</v>
      </c>
    </row>
    <row r="4" spans="1:43" ht="14.25">
      <c r="A4" s="395" t="s">
        <v>0</v>
      </c>
      <c r="B4" s="396">
        <f>Calculadora!$B$2</f>
        <v>0.86</v>
      </c>
      <c r="C4" s="397"/>
      <c r="D4" s="979" t="s">
        <v>401</v>
      </c>
      <c r="E4" s="979"/>
      <c r="F4" s="398">
        <f>F13</f>
        <v>130.45785968925918</v>
      </c>
      <c r="G4" s="398"/>
      <c r="H4" s="397"/>
      <c r="I4" s="395" t="s">
        <v>0</v>
      </c>
      <c r="J4" s="396">
        <f>Calculadora!$B$2</f>
        <v>0.86</v>
      </c>
      <c r="K4" s="397"/>
      <c r="L4" s="979" t="s">
        <v>401</v>
      </c>
      <c r="M4" s="979"/>
      <c r="N4" s="398">
        <f>N13</f>
        <v>133.22214031074083</v>
      </c>
      <c r="O4" s="398"/>
      <c r="P4" s="398"/>
      <c r="R4" s="394">
        <f t="shared" si="0"/>
        <v>0.77777777777862456</v>
      </c>
      <c r="W4" s="96" t="s">
        <v>164</v>
      </c>
      <c r="X4" s="99">
        <f>'[2]Calc 268y'!B1</f>
        <v>269</v>
      </c>
      <c r="AA4" s="89">
        <f t="shared" ref="AA4:AH4" si="2">AA71</f>
        <v>199</v>
      </c>
      <c r="AB4" s="89">
        <f t="shared" si="2"/>
        <v>191.3</v>
      </c>
      <c r="AC4" s="89">
        <f t="shared" si="2"/>
        <v>181.3</v>
      </c>
      <c r="AD4" s="89">
        <f t="shared" si="2"/>
        <v>172.3</v>
      </c>
      <c r="AE4" s="89">
        <f t="shared" si="2"/>
        <v>161.69999999999999</v>
      </c>
      <c r="AF4" s="89">
        <f t="shared" si="2"/>
        <v>150.69999999999999</v>
      </c>
      <c r="AG4" s="89">
        <f t="shared" si="2"/>
        <v>140.6</v>
      </c>
      <c r="AH4" s="89">
        <f t="shared" si="2"/>
        <v>130.6</v>
      </c>
      <c r="AI4" s="98">
        <v>-87</v>
      </c>
      <c r="AJ4" s="93">
        <v>1.1000000000000001</v>
      </c>
      <c r="AK4" s="94">
        <v>1.1000000000000001</v>
      </c>
      <c r="AL4" s="94">
        <v>1.1000000000000001</v>
      </c>
      <c r="AM4" s="94">
        <v>1.1000000000000001</v>
      </c>
      <c r="AN4" s="94">
        <v>1.1000000000000001</v>
      </c>
      <c r="AO4" s="94">
        <v>1.1000000000000001</v>
      </c>
      <c r="AP4" s="94">
        <v>1.1000000000000001</v>
      </c>
      <c r="AQ4" s="95">
        <v>1.1000000000000001</v>
      </c>
    </row>
    <row r="5" spans="1:43" ht="14.25">
      <c r="A5" s="395" t="s">
        <v>1</v>
      </c>
      <c r="B5" s="399">
        <f>Calculadora!$B$3</f>
        <v>4</v>
      </c>
      <c r="C5" s="397"/>
      <c r="D5" s="979" t="s">
        <v>144</v>
      </c>
      <c r="E5" s="979"/>
      <c r="F5" s="398" t="e">
        <f>INDEX(Beam!R2:R362,(ROUNDUP(((F4)/(100/361))+1,0)),1)</f>
        <v>#REF!</v>
      </c>
      <c r="G5" s="398"/>
      <c r="H5" s="397"/>
      <c r="I5" s="395" t="s">
        <v>1</v>
      </c>
      <c r="J5" s="399">
        <f>Calculadora!$B$3*-1</f>
        <v>-4</v>
      </c>
      <c r="K5" s="397"/>
      <c r="L5" s="979" t="s">
        <v>144</v>
      </c>
      <c r="M5" s="979"/>
      <c r="N5" s="398" t="e">
        <f>INDEX(Beam!R2:R362,(ROUNDUP(((N13)/(100/361))+1,0)),1)</f>
        <v>#REF!</v>
      </c>
      <c r="O5" s="398"/>
      <c r="P5" s="398"/>
      <c r="R5" s="394">
        <f t="shared" si="0"/>
        <v>1.1666666666675134</v>
      </c>
      <c r="W5" s="96" t="s">
        <v>1</v>
      </c>
      <c r="X5" s="99">
        <f>'[2]Calc 268y'!B2</f>
        <v>3</v>
      </c>
      <c r="AA5" s="89">
        <f t="shared" ref="AA5:AH5" si="3">AA36+AA38</f>
        <v>0.12</v>
      </c>
      <c r="AB5" s="89">
        <f t="shared" si="3"/>
        <v>0.14000000000000001</v>
      </c>
      <c r="AC5" s="89">
        <f t="shared" si="3"/>
        <v>0.15</v>
      </c>
      <c r="AD5" s="89">
        <f t="shared" si="3"/>
        <v>0.16</v>
      </c>
      <c r="AE5" s="89" t="e">
        <f t="shared" si="3"/>
        <v>#N/A</v>
      </c>
      <c r="AF5" s="89" t="e">
        <f t="shared" si="3"/>
        <v>#N/A</v>
      </c>
      <c r="AG5" s="89" t="e">
        <f t="shared" si="3"/>
        <v>#N/A</v>
      </c>
      <c r="AH5" s="89" t="e">
        <f t="shared" si="3"/>
        <v>#N/A</v>
      </c>
      <c r="AI5" s="98">
        <v>-86</v>
      </c>
      <c r="AJ5" s="93">
        <v>1.1000000000000001</v>
      </c>
      <c r="AK5" s="94">
        <v>1.1000000000000001</v>
      </c>
      <c r="AL5" s="94">
        <v>1.1000000000000001</v>
      </c>
      <c r="AM5" s="94">
        <v>1.1000000000000001</v>
      </c>
      <c r="AN5" s="94">
        <v>1.1000000000000001</v>
      </c>
      <c r="AO5" s="94">
        <v>1.1000000000000001</v>
      </c>
      <c r="AP5" s="94">
        <v>1.1000000000000001</v>
      </c>
      <c r="AQ5" s="95">
        <v>1.1000000000000001</v>
      </c>
    </row>
    <row r="6" spans="1:43" ht="15" thickBot="1">
      <c r="A6" s="395" t="s">
        <v>2</v>
      </c>
      <c r="B6" s="400">
        <f>Calculadora!$B$4</f>
        <v>72</v>
      </c>
      <c r="C6" s="397"/>
      <c r="D6" s="398"/>
      <c r="E6" s="398"/>
      <c r="F6" s="398"/>
      <c r="G6" s="398"/>
      <c r="H6" s="397"/>
      <c r="I6" s="395" t="s">
        <v>2</v>
      </c>
      <c r="J6" s="400">
        <f>Calculadora!$B$4</f>
        <v>72</v>
      </c>
      <c r="K6" s="397"/>
      <c r="L6" s="979"/>
      <c r="M6" s="979"/>
      <c r="N6" s="398"/>
      <c r="O6" s="398"/>
      <c r="P6" s="398"/>
      <c r="R6" s="394">
        <f t="shared" si="0"/>
        <v>1.5555555555564022</v>
      </c>
      <c r="W6" s="96" t="s">
        <v>2</v>
      </c>
      <c r="X6" s="100">
        <f>90-'[2]Calc 268y'!B4</f>
        <v>2</v>
      </c>
      <c r="AA6" s="91">
        <f t="shared" ref="AA6:AH6" si="4">AA25</f>
        <v>260.90000193984622</v>
      </c>
      <c r="AB6" s="91">
        <f t="shared" si="4"/>
        <v>260.47123689113721</v>
      </c>
      <c r="AC6" s="91">
        <f t="shared" si="4"/>
        <v>260.50553597231141</v>
      </c>
      <c r="AD6" s="91">
        <f t="shared" si="4"/>
        <v>260.38809805589636</v>
      </c>
      <c r="AE6" s="91" t="e">
        <f t="shared" si="4"/>
        <v>#N/A</v>
      </c>
      <c r="AF6" s="91" t="e">
        <f t="shared" si="4"/>
        <v>#N/A</v>
      </c>
      <c r="AG6" s="91" t="e">
        <f t="shared" si="4"/>
        <v>#N/A</v>
      </c>
      <c r="AH6" s="91" t="e">
        <f t="shared" si="4"/>
        <v>#N/A</v>
      </c>
      <c r="AI6" s="98">
        <v>-85</v>
      </c>
      <c r="AJ6" s="93">
        <v>1.1000000000000001</v>
      </c>
      <c r="AK6" s="94">
        <v>1.1000000000000001</v>
      </c>
      <c r="AL6" s="94">
        <v>1.1000000000000001</v>
      </c>
      <c r="AM6" s="94">
        <v>1.1000000000000001</v>
      </c>
      <c r="AN6" s="94">
        <v>1.1000000000000001</v>
      </c>
      <c r="AO6" s="94">
        <v>1.1000000000000001</v>
      </c>
      <c r="AP6" s="94">
        <v>1.1000000000000001</v>
      </c>
      <c r="AQ6" s="95">
        <v>1.1000000000000001</v>
      </c>
    </row>
    <row r="7" spans="1:43" ht="15" thickBot="1">
      <c r="A7" s="395" t="s">
        <v>170</v>
      </c>
      <c r="B7" s="401">
        <f>Calculadora!$B$7*100</f>
        <v>100</v>
      </c>
      <c r="C7" s="397"/>
      <c r="D7" s="398"/>
      <c r="E7" s="398"/>
      <c r="F7" s="398"/>
      <c r="G7" s="398"/>
      <c r="H7" s="397"/>
      <c r="I7" s="395" t="s">
        <v>170</v>
      </c>
      <c r="J7" s="401">
        <f>Calculadora!$B$7*100</f>
        <v>100</v>
      </c>
      <c r="K7" s="397"/>
      <c r="L7" s="397"/>
      <c r="M7" s="397"/>
      <c r="N7" s="397"/>
      <c r="O7" s="397"/>
      <c r="P7" s="397"/>
      <c r="R7" s="394">
        <f t="shared" si="0"/>
        <v>1.9444444444452911</v>
      </c>
      <c r="W7" s="96" t="s">
        <v>166</v>
      </c>
      <c r="X7" s="99"/>
      <c r="Z7" s="101" t="s">
        <v>167</v>
      </c>
      <c r="AA7" s="102">
        <f t="shared" ref="AA7:AH7" si="5">AA5*4.63</f>
        <v>0.55559999999999998</v>
      </c>
      <c r="AB7" s="102">
        <f t="shared" si="5"/>
        <v>0.6482</v>
      </c>
      <c r="AC7" s="102">
        <f t="shared" si="5"/>
        <v>0.69450000000000001</v>
      </c>
      <c r="AD7" s="102">
        <f t="shared" si="5"/>
        <v>0.74080000000000001</v>
      </c>
      <c r="AE7" s="102" t="e">
        <f t="shared" si="5"/>
        <v>#N/A</v>
      </c>
      <c r="AF7" s="102" t="e">
        <f t="shared" si="5"/>
        <v>#N/A</v>
      </c>
      <c r="AG7" s="102" t="e">
        <f t="shared" si="5"/>
        <v>#N/A</v>
      </c>
      <c r="AH7" s="103" t="e">
        <f t="shared" si="5"/>
        <v>#N/A</v>
      </c>
      <c r="AI7" s="104">
        <v>-84</v>
      </c>
      <c r="AJ7" s="93">
        <v>1.1000000000000001</v>
      </c>
      <c r="AK7" s="94">
        <v>1.1000000000000001</v>
      </c>
      <c r="AL7" s="94">
        <v>1.1000000000000001</v>
      </c>
      <c r="AM7" s="94">
        <v>1.1000000000000001</v>
      </c>
      <c r="AN7" s="94">
        <v>1.1000000000000001</v>
      </c>
      <c r="AO7" s="94">
        <v>1.1000000000000001</v>
      </c>
      <c r="AP7" s="94">
        <v>1.1000000000000001</v>
      </c>
      <c r="AQ7" s="95">
        <v>1.1000000000000001</v>
      </c>
    </row>
    <row r="8" spans="1:43" ht="14.25">
      <c r="A8" s="395" t="s">
        <v>402</v>
      </c>
      <c r="B8" s="396">
        <f>Calculadora!$B$5</f>
        <v>0</v>
      </c>
      <c r="C8" s="397"/>
      <c r="D8" s="398"/>
      <c r="E8" s="398"/>
      <c r="F8" s="398"/>
      <c r="G8" s="398"/>
      <c r="H8" s="397"/>
      <c r="I8" s="395" t="s">
        <v>402</v>
      </c>
      <c r="J8" s="396">
        <f>Calculadora!$B$5</f>
        <v>0</v>
      </c>
      <c r="K8" s="397"/>
      <c r="L8" s="397"/>
      <c r="M8" s="397"/>
      <c r="N8" s="397"/>
      <c r="O8" s="397"/>
      <c r="P8" s="397"/>
      <c r="R8" s="394">
        <f t="shared" si="0"/>
        <v>2.3333333333341799</v>
      </c>
      <c r="W8" s="105" t="s">
        <v>168</v>
      </c>
      <c r="X8" s="99">
        <f>'[2]Calc 268y'!B5</f>
        <v>0</v>
      </c>
      <c r="AA8" s="106">
        <f>(COS(RADIANS(X6))*X5)*1.38</f>
        <v>4.1374780238590558</v>
      </c>
      <c r="AB8" s="106">
        <f>(COS(RADIANS(X6))*X5)*1.5</f>
        <v>4.497258721585931</v>
      </c>
      <c r="AC8" s="106">
        <f>((COS(RADIANS(X6))*X5))*1.61</f>
        <v>4.8270576945022325</v>
      </c>
      <c r="AD8" s="106">
        <f>((COS(RADIANS(X6))*X5))*1.71</f>
        <v>5.1268749426079614</v>
      </c>
      <c r="AE8" s="106">
        <f>((COS(RADIANS(X6))*X5))*1.72</f>
        <v>5.1568566674185341</v>
      </c>
      <c r="AF8" s="106">
        <f>((COS(RADIANS(X6))*X5))*1.79</f>
        <v>5.3667287410925439</v>
      </c>
      <c r="AG8" s="106">
        <f>((COS(RADIANS(X6))*X5))*1.88</f>
        <v>5.6365642643876992</v>
      </c>
      <c r="AH8" s="106">
        <f>((COS(RADIANS(X6))*X5))*1.98</f>
        <v>5.9363815124934289</v>
      </c>
      <c r="AI8" s="98">
        <v>-83</v>
      </c>
      <c r="AJ8" s="93">
        <v>1.1000000000000001</v>
      </c>
      <c r="AK8" s="94">
        <v>1.1000000000000001</v>
      </c>
      <c r="AL8" s="94">
        <v>1.1000000000000001</v>
      </c>
      <c r="AM8" s="94">
        <v>1.1000000000000001</v>
      </c>
      <c r="AN8" s="94">
        <v>1.1000000000000001</v>
      </c>
      <c r="AO8" s="94">
        <v>1.1000000000000001</v>
      </c>
      <c r="AP8" s="94">
        <v>1.1000000000000001</v>
      </c>
      <c r="AQ8" s="95">
        <v>1.1000000000000001</v>
      </c>
    </row>
    <row r="9" spans="1:43" ht="14.25">
      <c r="A9" s="397"/>
      <c r="B9" s="397"/>
      <c r="C9" s="397"/>
      <c r="D9" s="397"/>
      <c r="E9" s="397"/>
      <c r="F9" s="397"/>
      <c r="G9" s="397"/>
      <c r="H9" s="397"/>
      <c r="I9" s="397"/>
      <c r="J9" s="397"/>
      <c r="K9" s="397"/>
      <c r="L9" s="397"/>
      <c r="M9" s="397"/>
      <c r="N9" s="397"/>
      <c r="O9" s="397"/>
      <c r="P9" s="397"/>
      <c r="R9" s="394">
        <f t="shared" si="0"/>
        <v>2.7222222222230688</v>
      </c>
      <c r="W9" s="105" t="s">
        <v>169</v>
      </c>
      <c r="X9" s="99"/>
      <c r="AA9" s="107">
        <f>(1-(X3*0.01))*AA8</f>
        <v>4.4825436910489005</v>
      </c>
      <c r="AB9" s="107">
        <f>(1-(X3*0.01))*AB8</f>
        <v>4.8723300989661968</v>
      </c>
      <c r="AC9" s="107">
        <f>(1-(X3*0.006))*AC8</f>
        <v>5.0686036615351249</v>
      </c>
      <c r="AD9" s="107">
        <f>(1-(X3*0.01))*AD8</f>
        <v>5.5544563128214648</v>
      </c>
      <c r="AE9" s="107">
        <f>(1-(X3*0.01))*AE8</f>
        <v>5.5869385134812397</v>
      </c>
      <c r="AF9" s="107">
        <f>(1-(X3*0.008))*AF8</f>
        <v>5.7247968826982394</v>
      </c>
      <c r="AG9" s="107">
        <f>(1-(X3*0.007))*AG8</f>
        <v>5.9656268861426538</v>
      </c>
      <c r="AH9" s="107">
        <f>(1-(X3*0.007))*AH8</f>
        <v>6.2829474651927963</v>
      </c>
      <c r="AI9" s="98">
        <v>-82</v>
      </c>
      <c r="AJ9" s="93">
        <v>1.1000000000000001</v>
      </c>
      <c r="AK9" s="94">
        <v>1.1000000000000001</v>
      </c>
      <c r="AL9" s="94">
        <v>1.1000000000000001</v>
      </c>
      <c r="AM9" s="94">
        <v>1.1000000000000001</v>
      </c>
      <c r="AN9" s="94">
        <v>1.1000000000000001</v>
      </c>
      <c r="AO9" s="94">
        <v>1.1000000000000001</v>
      </c>
      <c r="AP9" s="94">
        <v>1.1000000000000001</v>
      </c>
      <c r="AQ9" s="95">
        <v>1.1000000000000001</v>
      </c>
    </row>
    <row r="10" spans="1:43" ht="14.25">
      <c r="A10" s="397"/>
      <c r="B10" s="397"/>
      <c r="C10" s="397"/>
      <c r="D10" s="397"/>
      <c r="E10" s="397"/>
      <c r="F10" s="397"/>
      <c r="G10" s="397"/>
      <c r="H10" s="397"/>
      <c r="I10" s="402"/>
      <c r="J10" s="397"/>
      <c r="K10" s="397"/>
      <c r="L10" s="397"/>
      <c r="M10" s="397"/>
      <c r="N10" s="397"/>
      <c r="O10" s="397"/>
      <c r="P10" s="397"/>
      <c r="R10" s="394">
        <f t="shared" si="0"/>
        <v>3.1111111111119576</v>
      </c>
      <c r="W10" s="96" t="s">
        <v>170</v>
      </c>
      <c r="X10" s="99">
        <f>'[2]Calc 268y'!B7</f>
        <v>100</v>
      </c>
      <c r="AA10" s="89">
        <f>X4-AA9</f>
        <v>264.51745630895113</v>
      </c>
      <c r="AB10" s="89">
        <f>X4-AB9</f>
        <v>264.12766990103381</v>
      </c>
      <c r="AC10" s="89">
        <f>X4-AC9</f>
        <v>263.93139633846488</v>
      </c>
      <c r="AD10" s="89">
        <f>X4-AD9</f>
        <v>263.44554368717854</v>
      </c>
      <c r="AE10" s="89">
        <f>X4-AE9</f>
        <v>263.41306148651876</v>
      </c>
      <c r="AF10" s="89">
        <f>X4-AF9</f>
        <v>263.27520311730177</v>
      </c>
      <c r="AG10" s="89">
        <f>X4-AG9</f>
        <v>263.03437311385733</v>
      </c>
      <c r="AH10" s="89">
        <f>X4-AH9</f>
        <v>262.71705253480718</v>
      </c>
      <c r="AI10" s="98">
        <v>-81</v>
      </c>
      <c r="AJ10" s="93">
        <v>1.1000000000000001</v>
      </c>
      <c r="AK10" s="94">
        <v>1.1000000000000001</v>
      </c>
      <c r="AL10" s="94">
        <v>1.1000000000000001</v>
      </c>
      <c r="AM10" s="94">
        <v>1.1000000000000001</v>
      </c>
      <c r="AN10" s="94">
        <v>1.1000000000000001</v>
      </c>
      <c r="AO10" s="94">
        <v>1.1000000000000001</v>
      </c>
      <c r="AP10" s="94">
        <v>1.1000000000000001</v>
      </c>
      <c r="AQ10" s="95">
        <v>1.1000000000000001</v>
      </c>
    </row>
    <row r="11" spans="1:43" ht="15" thickBot="1">
      <c r="A11" s="396"/>
      <c r="B11" s="396"/>
      <c r="C11" s="396"/>
      <c r="D11" s="396"/>
      <c r="E11" s="396"/>
      <c r="F11" s="403"/>
      <c r="G11" s="397"/>
      <c r="H11" s="397"/>
      <c r="I11" s="396"/>
      <c r="J11" s="396"/>
      <c r="K11" s="396"/>
      <c r="L11" s="396"/>
      <c r="M11" s="396"/>
      <c r="N11" s="403"/>
      <c r="O11" s="397"/>
      <c r="P11" s="397"/>
      <c r="R11" s="394">
        <f t="shared" si="0"/>
        <v>3.5000000000008464</v>
      </c>
      <c r="W11" s="108" t="s">
        <v>171</v>
      </c>
      <c r="X11" s="99"/>
      <c r="AA11" s="89">
        <f>AA4-AA10</f>
        <v>-65.517456308951125</v>
      </c>
      <c r="AB11" s="89">
        <f t="shared" ref="AB11:AH11" si="6">AB4-AB10</f>
        <v>-72.827669901033801</v>
      </c>
      <c r="AC11" s="89">
        <f t="shared" si="6"/>
        <v>-82.631396338464867</v>
      </c>
      <c r="AD11" s="89">
        <f t="shared" si="6"/>
        <v>-91.145543687178531</v>
      </c>
      <c r="AE11" s="89">
        <f t="shared" si="6"/>
        <v>-101.71306148651877</v>
      </c>
      <c r="AF11" s="89">
        <f t="shared" si="6"/>
        <v>-112.57520311730178</v>
      </c>
      <c r="AG11" s="89">
        <f t="shared" si="6"/>
        <v>-122.43437311385733</v>
      </c>
      <c r="AH11" s="89">
        <f t="shared" si="6"/>
        <v>-132.11705253480719</v>
      </c>
      <c r="AI11" s="98">
        <v>-80</v>
      </c>
      <c r="AJ11" s="93">
        <v>1.1000000000000001</v>
      </c>
      <c r="AK11" s="94">
        <v>1.1000000000000001</v>
      </c>
      <c r="AL11" s="94">
        <v>1.1000000000000001</v>
      </c>
      <c r="AM11" s="94">
        <v>1.1000000000000001</v>
      </c>
      <c r="AN11" s="94">
        <v>1.1000000000000001</v>
      </c>
      <c r="AO11" s="94">
        <v>1.1000000000000001</v>
      </c>
      <c r="AP11" s="94">
        <v>1.1000000000000001</v>
      </c>
      <c r="AQ11" s="95">
        <v>1.1000000000000001</v>
      </c>
    </row>
    <row r="12" spans="1:43" ht="15" thickBot="1">
      <c r="A12" s="396"/>
      <c r="B12" s="396">
        <f>(ABS(B5*SIN(RADIANS(B6))))</f>
        <v>3.8042260651806141</v>
      </c>
      <c r="C12" s="396">
        <f>B3-B4</f>
        <v>130.69</v>
      </c>
      <c r="D12" s="396">
        <v>6.3E-3</v>
      </c>
      <c r="E12" s="404">
        <f>B12*C12*D12</f>
        <v>3.132198118088263</v>
      </c>
      <c r="F12" s="405">
        <f>E12+(B8*A31)</f>
        <v>3.132198118088263</v>
      </c>
      <c r="G12" s="397"/>
      <c r="H12" s="397"/>
      <c r="I12" s="396"/>
      <c r="J12" s="396">
        <f>(ABS(J5*SIN(RADIANS(J6))))</f>
        <v>3.8042260651806141</v>
      </c>
      <c r="K12" s="396">
        <f>J3-J4</f>
        <v>130.69</v>
      </c>
      <c r="L12" s="396">
        <v>6.3E-3</v>
      </c>
      <c r="M12" s="404">
        <f>J12*K12*L12</f>
        <v>3.132198118088263</v>
      </c>
      <c r="N12" s="405">
        <f>M12+(J8*J31)</f>
        <v>3.132198118088263</v>
      </c>
      <c r="O12" s="397"/>
      <c r="P12" s="397"/>
      <c r="R12" s="394">
        <f t="shared" si="0"/>
        <v>3.8888888888897353</v>
      </c>
      <c r="W12" s="987"/>
      <c r="X12" s="988"/>
      <c r="AA12" s="89">
        <f>IF(X3&lt;0,X3*0.4,IF(X3&gt;0,X3*0.7))</f>
        <v>-3.3360000000000003</v>
      </c>
      <c r="AB12" s="89">
        <f>IF(X3&lt;0,X3*0.4,IF(X3&gt;0,X3*0.7))</f>
        <v>-3.3360000000000003</v>
      </c>
      <c r="AC12" s="89">
        <f>IF(X3&lt;0,X3*0.4,IF(X3&gt;0,X3*0.6))</f>
        <v>-3.3360000000000003</v>
      </c>
      <c r="AD12" s="89">
        <f>IF(X3&lt;0,X3*0.4,IF(X3&gt;0,X3*0.6))</f>
        <v>-3.3360000000000003</v>
      </c>
      <c r="AE12" s="89">
        <f>IF(X3&lt;0,X3*0.4,IF(X3&gt;0,X3*0.6))</f>
        <v>-3.3360000000000003</v>
      </c>
      <c r="AF12" s="89">
        <f>IF(X3&lt;0,X3*0.4,IF(X3&gt;0,X3*0.5))</f>
        <v>-3.3360000000000003</v>
      </c>
      <c r="AG12" s="89">
        <f>IF(X3&lt;0,X3*0.4,IF(X3&gt;0,X3*0.5))</f>
        <v>-3.3360000000000003</v>
      </c>
      <c r="AH12" s="89">
        <f>IF(X3&lt;0,X3*0.4,IF(X3&gt;0,X3*0.5))</f>
        <v>-3.3360000000000003</v>
      </c>
      <c r="AI12" s="98">
        <v>-79</v>
      </c>
      <c r="AJ12" s="93">
        <v>1.1000000000000001</v>
      </c>
      <c r="AK12" s="94">
        <v>1.1000000000000001</v>
      </c>
      <c r="AL12" s="94">
        <v>1.1000000000000001</v>
      </c>
      <c r="AM12" s="94">
        <v>1.1000000000000001</v>
      </c>
      <c r="AN12" s="94">
        <v>1.1000000000000001</v>
      </c>
      <c r="AO12" s="94">
        <v>1.1000000000000001</v>
      </c>
      <c r="AP12" s="94">
        <v>1.1000000000000001</v>
      </c>
      <c r="AQ12" s="95">
        <v>1.1000000000000001</v>
      </c>
    </row>
    <row r="13" spans="1:43" ht="15" thickBot="1">
      <c r="A13" s="396"/>
      <c r="B13" s="396">
        <f>B3</f>
        <v>131.55000000000001</v>
      </c>
      <c r="C13" s="396">
        <f>(B5*COS(RADIANS(B6)))*B3*0.0085</f>
        <v>1.3821403107408277</v>
      </c>
      <c r="D13" s="396">
        <f>IF(B4&gt;0,B4*1.5,B4*1.25)</f>
        <v>1.29</v>
      </c>
      <c r="E13" s="404">
        <f>((B13+D13)*B23)-C13</f>
        <v>131.45785968925918</v>
      </c>
      <c r="F13" s="405">
        <f>D16+E16</f>
        <v>130.45785968925918</v>
      </c>
      <c r="G13" s="397"/>
      <c r="H13" s="397"/>
      <c r="I13" s="396"/>
      <c r="J13" s="396">
        <f>J3</f>
        <v>131.55000000000001</v>
      </c>
      <c r="K13" s="396">
        <f>(J5*COS(RADIANS(J6)))*J3*0.0085</f>
        <v>-1.3821403107408277</v>
      </c>
      <c r="L13" s="396">
        <f>IF(J4&gt;0,J4*1.5,J4*1.25)</f>
        <v>1.29</v>
      </c>
      <c r="M13" s="404">
        <f>((J13+L13)*K23)-K13</f>
        <v>134.22214031074083</v>
      </c>
      <c r="N13" s="405">
        <f>M16+N16</f>
        <v>133.22214031074083</v>
      </c>
      <c r="O13" s="397"/>
      <c r="P13" s="397"/>
      <c r="R13" s="394">
        <f t="shared" si="0"/>
        <v>4.2777777777786241</v>
      </c>
      <c r="W13" s="990"/>
      <c r="X13" s="991"/>
      <c r="AA13" s="89">
        <f t="shared" ref="AA13:AH13" si="7">AA10+AA12</f>
        <v>261.18145630895111</v>
      </c>
      <c r="AB13" s="89">
        <f t="shared" si="7"/>
        <v>260.7916699010338</v>
      </c>
      <c r="AC13" s="89">
        <f t="shared" si="7"/>
        <v>260.59539633846487</v>
      </c>
      <c r="AD13" s="89">
        <f t="shared" si="7"/>
        <v>260.10954368717853</v>
      </c>
      <c r="AE13" s="89">
        <f t="shared" si="7"/>
        <v>260.07706148651874</v>
      </c>
      <c r="AF13" s="89">
        <f t="shared" si="7"/>
        <v>259.93920311730176</v>
      </c>
      <c r="AG13" s="89">
        <f t="shared" si="7"/>
        <v>259.69837311385731</v>
      </c>
      <c r="AH13" s="89">
        <f t="shared" si="7"/>
        <v>259.38105253480717</v>
      </c>
      <c r="AI13" s="98">
        <v>-78</v>
      </c>
      <c r="AJ13" s="93">
        <v>1.1000000000000001</v>
      </c>
      <c r="AK13" s="94">
        <v>1.1000000000000001</v>
      </c>
      <c r="AL13" s="94">
        <v>1.1000000000000001</v>
      </c>
      <c r="AM13" s="94">
        <v>1.1000000000000001</v>
      </c>
      <c r="AN13" s="94">
        <v>1.1000000000000001</v>
      </c>
      <c r="AO13" s="94">
        <v>1.1000000000000001</v>
      </c>
      <c r="AP13" s="94">
        <v>1.1000000000000001</v>
      </c>
      <c r="AQ13" s="95">
        <v>1.1000000000000001</v>
      </c>
    </row>
    <row r="14" spans="1:43" ht="14.25">
      <c r="A14" s="397"/>
      <c r="B14" s="397"/>
      <c r="C14" s="397"/>
      <c r="D14" s="397"/>
      <c r="E14" s="397"/>
      <c r="F14" s="397"/>
      <c r="G14" s="397"/>
      <c r="H14" s="397"/>
      <c r="I14" s="397"/>
      <c r="J14" s="397"/>
      <c r="K14" s="397"/>
      <c r="L14" s="397"/>
      <c r="M14" s="397"/>
      <c r="N14" s="397"/>
      <c r="O14" s="397"/>
      <c r="P14" s="397"/>
      <c r="R14" s="394">
        <f t="shared" si="0"/>
        <v>4.6666666666675134</v>
      </c>
      <c r="AA14" s="89">
        <f t="shared" ref="AA14:AH14" si="8">AA4-AA13</f>
        <v>-62.181456308951113</v>
      </c>
      <c r="AB14" s="89">
        <f t="shared" si="8"/>
        <v>-69.491669901033788</v>
      </c>
      <c r="AC14" s="89">
        <f t="shared" si="8"/>
        <v>-79.295396338464855</v>
      </c>
      <c r="AD14" s="89">
        <f t="shared" si="8"/>
        <v>-87.809543687178518</v>
      </c>
      <c r="AE14" s="89">
        <f t="shared" si="8"/>
        <v>-98.377061486518755</v>
      </c>
      <c r="AF14" s="89">
        <f t="shared" si="8"/>
        <v>-109.23920311730177</v>
      </c>
      <c r="AG14" s="89">
        <f t="shared" si="8"/>
        <v>-119.09837311385732</v>
      </c>
      <c r="AH14" s="89">
        <f t="shared" si="8"/>
        <v>-128.78105253480717</v>
      </c>
      <c r="AI14" s="98">
        <v>-77</v>
      </c>
      <c r="AJ14" s="93">
        <v>1.1000000000000001</v>
      </c>
      <c r="AK14" s="94">
        <v>1.1000000000000001</v>
      </c>
      <c r="AL14" s="94">
        <v>1.1000000000000001</v>
      </c>
      <c r="AM14" s="94">
        <v>1.1000000000000001</v>
      </c>
      <c r="AN14" s="94">
        <v>1.1000000000000001</v>
      </c>
      <c r="AO14" s="94">
        <v>1.1000000000000001</v>
      </c>
      <c r="AP14" s="94">
        <v>1.1000000000000001</v>
      </c>
      <c r="AQ14" s="95">
        <v>1.1000000000000001</v>
      </c>
    </row>
    <row r="15" spans="1:43" ht="15" thickBot="1">
      <c r="A15" s="397"/>
      <c r="B15" s="397"/>
      <c r="C15" s="397"/>
      <c r="D15" s="397"/>
      <c r="E15" s="397"/>
      <c r="F15" s="406"/>
      <c r="G15" s="406"/>
      <c r="H15" s="406"/>
      <c r="I15" s="406"/>
      <c r="J15" s="406"/>
      <c r="K15" s="406"/>
      <c r="L15" s="406"/>
      <c r="M15" s="406"/>
      <c r="N15" s="406"/>
      <c r="O15" s="406"/>
      <c r="P15" s="406"/>
      <c r="R15" s="394">
        <f t="shared" si="0"/>
        <v>5.0555555555564027</v>
      </c>
      <c r="AA15" s="111">
        <v>0.7</v>
      </c>
      <c r="AB15" s="111">
        <v>0.65</v>
      </c>
      <c r="AC15" s="111">
        <v>0.6</v>
      </c>
      <c r="AD15" s="111">
        <v>0.6</v>
      </c>
      <c r="AE15" s="111">
        <v>0.6</v>
      </c>
      <c r="AF15" s="111">
        <v>0.6</v>
      </c>
      <c r="AG15" s="111">
        <v>0.53</v>
      </c>
      <c r="AH15" s="111">
        <v>0.53</v>
      </c>
      <c r="AI15" s="98">
        <v>-76</v>
      </c>
      <c r="AJ15" s="93">
        <v>1.1000000000000001</v>
      </c>
      <c r="AK15" s="94">
        <v>1.1000000000000001</v>
      </c>
      <c r="AL15" s="94">
        <v>1.1000000000000001</v>
      </c>
      <c r="AM15" s="94">
        <v>1.1000000000000001</v>
      </c>
      <c r="AN15" s="94">
        <v>1.1000000000000001</v>
      </c>
      <c r="AO15" s="94">
        <v>1.1000000000000001</v>
      </c>
      <c r="AP15" s="94">
        <v>1.1000000000000001</v>
      </c>
      <c r="AQ15" s="95">
        <v>1.1000000000000001</v>
      </c>
    </row>
    <row r="16" spans="1:43" ht="15" thickBot="1">
      <c r="A16" s="396"/>
      <c r="B16" s="396"/>
      <c r="C16" s="404"/>
      <c r="D16" s="405">
        <f t="array" ref="D16">INDEX(C17:C71,MATCH(MIN(ABS(D17:D71-E13)),ABS(D17:D71-E13),0))</f>
        <v>60</v>
      </c>
      <c r="E16" s="405">
        <f t="array" ref="E16">E13-(INDEX(D17:D71,MATCH(MIN(ABS(D17:D71-E13)),ABS(D17:D71-E13),0)))</f>
        <v>70.45785968925918</v>
      </c>
      <c r="F16" s="406"/>
      <c r="G16" s="406"/>
      <c r="H16" s="406"/>
      <c r="I16" s="406"/>
      <c r="J16" s="396"/>
      <c r="K16" s="396"/>
      <c r="L16" s="404"/>
      <c r="M16" s="405">
        <f t="array" ref="M16">INDEX(L17:L71,MATCH(MIN(ABS(M17:M71-M13)),ABS(M17:M71-M13),0))</f>
        <v>60</v>
      </c>
      <c r="N16" s="405">
        <f t="array" ref="N16">M13-(INDEX(M17:M71,MATCH(MIN(ABS(M17:M71-M13)),ABS(M17:M71-M13),0)))</f>
        <v>73.222140310740826</v>
      </c>
      <c r="O16" s="406"/>
      <c r="P16" s="406"/>
      <c r="R16" s="394">
        <f t="shared" si="0"/>
        <v>5.444444444445292</v>
      </c>
      <c r="AA16" s="89">
        <f>(100-X10)*AA15</f>
        <v>0</v>
      </c>
      <c r="AB16" s="89">
        <f>(100-X10)*AB15</f>
        <v>0</v>
      </c>
      <c r="AC16" s="89">
        <f>(100-X10)*AC15</f>
        <v>0</v>
      </c>
      <c r="AD16" s="89">
        <f>(100-X10)*AD15</f>
        <v>0</v>
      </c>
      <c r="AE16" s="89">
        <f>(100-X10)*AE15</f>
        <v>0</v>
      </c>
      <c r="AF16" s="89">
        <f>(100-X10)*AF15</f>
        <v>0</v>
      </c>
      <c r="AG16" s="89">
        <f>(100-X10)*AG15</f>
        <v>0</v>
      </c>
      <c r="AH16" s="89">
        <f>(100-X10)*AH15</f>
        <v>0</v>
      </c>
      <c r="AI16" s="98">
        <v>-75</v>
      </c>
      <c r="AJ16" s="93">
        <v>1.1000000000000001</v>
      </c>
      <c r="AK16" s="94">
        <v>1.1000000000000001</v>
      </c>
      <c r="AL16" s="94">
        <v>1.1000000000000001</v>
      </c>
      <c r="AM16" s="94">
        <v>1.1000000000000001</v>
      </c>
      <c r="AN16" s="94">
        <v>1.1000000000000001</v>
      </c>
      <c r="AO16" s="94">
        <v>1.1000000000000001</v>
      </c>
      <c r="AP16" s="94">
        <v>1.1000000000000001</v>
      </c>
      <c r="AQ16" s="95">
        <v>1.1000000000000001</v>
      </c>
    </row>
    <row r="17" spans="1:81" ht="14.25">
      <c r="A17" s="396">
        <v>100</v>
      </c>
      <c r="B17" s="396">
        <v>1</v>
      </c>
      <c r="C17" s="396">
        <v>6</v>
      </c>
      <c r="D17" s="407"/>
      <c r="E17" s="407"/>
      <c r="F17" s="406"/>
      <c r="G17" s="406"/>
      <c r="H17" s="406"/>
      <c r="I17" s="406"/>
      <c r="J17" s="396">
        <v>100</v>
      </c>
      <c r="K17" s="396">
        <v>1</v>
      </c>
      <c r="L17" s="396">
        <v>6</v>
      </c>
      <c r="M17" s="407"/>
      <c r="N17" s="407"/>
      <c r="O17" s="406"/>
      <c r="P17" s="406"/>
      <c r="R17" s="394">
        <f t="shared" si="0"/>
        <v>5.8333333333341812</v>
      </c>
      <c r="AA17" s="89">
        <f t="shared" ref="AA17:AH17" si="9">AA10+AA12+AA16</f>
        <v>261.18145630895111</v>
      </c>
      <c r="AB17" s="89">
        <f t="shared" si="9"/>
        <v>260.7916699010338</v>
      </c>
      <c r="AC17" s="89">
        <f t="shared" si="9"/>
        <v>260.59539633846487</v>
      </c>
      <c r="AD17" s="89">
        <f t="shared" si="9"/>
        <v>260.10954368717853</v>
      </c>
      <c r="AE17" s="89">
        <f t="shared" si="9"/>
        <v>260.07706148651874</v>
      </c>
      <c r="AF17" s="89">
        <f t="shared" si="9"/>
        <v>259.93920311730176</v>
      </c>
      <c r="AG17" s="89">
        <f t="shared" si="9"/>
        <v>259.69837311385731</v>
      </c>
      <c r="AH17" s="89">
        <f t="shared" si="9"/>
        <v>259.38105253480717</v>
      </c>
      <c r="AI17" s="98">
        <v>-74</v>
      </c>
      <c r="AJ17" s="93">
        <v>1.1000000000000001</v>
      </c>
      <c r="AK17" s="94">
        <v>1.1000000000000001</v>
      </c>
      <c r="AL17" s="94">
        <v>1.1000000000000001</v>
      </c>
      <c r="AM17" s="94">
        <v>1.1000000000000001</v>
      </c>
      <c r="AN17" s="94">
        <v>1.1000000000000001</v>
      </c>
      <c r="AO17" s="94">
        <v>1.1000000000000001</v>
      </c>
      <c r="AP17" s="94">
        <v>1.1000000000000001</v>
      </c>
      <c r="AQ17" s="95">
        <v>1.1000000000000001</v>
      </c>
    </row>
    <row r="18" spans="1:81" ht="15" thickBot="1">
      <c r="A18" s="396">
        <v>95</v>
      </c>
      <c r="B18" s="396">
        <v>1.05</v>
      </c>
      <c r="C18" s="396">
        <v>7</v>
      </c>
      <c r="D18" s="396">
        <v>8.9</v>
      </c>
      <c r="E18" s="396"/>
      <c r="F18" s="406"/>
      <c r="G18" s="406"/>
      <c r="H18" s="406"/>
      <c r="I18" s="406"/>
      <c r="J18" s="396">
        <v>95</v>
      </c>
      <c r="K18" s="396">
        <v>1.05</v>
      </c>
      <c r="L18" s="396">
        <v>7</v>
      </c>
      <c r="M18" s="396">
        <v>8.9</v>
      </c>
      <c r="N18" s="396"/>
      <c r="O18" s="406"/>
      <c r="P18" s="406"/>
      <c r="R18" s="394">
        <f t="shared" si="0"/>
        <v>6.2222222222230705</v>
      </c>
      <c r="AA18" s="89">
        <f t="shared" ref="AA18:AH18" si="10">AA4-AA17</f>
        <v>-62.181456308951113</v>
      </c>
      <c r="AB18" s="89">
        <f t="shared" si="10"/>
        <v>-69.491669901033788</v>
      </c>
      <c r="AC18" s="89">
        <f t="shared" si="10"/>
        <v>-79.295396338464855</v>
      </c>
      <c r="AD18" s="89">
        <f t="shared" si="10"/>
        <v>-87.809543687178518</v>
      </c>
      <c r="AE18" s="89">
        <f t="shared" si="10"/>
        <v>-98.377061486518755</v>
      </c>
      <c r="AF18" s="89">
        <f t="shared" si="10"/>
        <v>-109.23920311730177</v>
      </c>
      <c r="AG18" s="89">
        <f t="shared" si="10"/>
        <v>-119.09837311385732</v>
      </c>
      <c r="AH18" s="89">
        <f t="shared" si="10"/>
        <v>-128.78105253480717</v>
      </c>
      <c r="AI18" s="98">
        <v>-73</v>
      </c>
      <c r="AJ18" s="93">
        <v>1.1000000000000001</v>
      </c>
      <c r="AK18" s="94">
        <v>1.1000000000000001</v>
      </c>
      <c r="AL18" s="94">
        <v>1.1000000000000001</v>
      </c>
      <c r="AM18" s="94">
        <v>1.1000000000000001</v>
      </c>
      <c r="AN18" s="94">
        <v>1.1000000000000001</v>
      </c>
      <c r="AO18" s="94">
        <v>1.1000000000000001</v>
      </c>
      <c r="AP18" s="94">
        <v>1.1000000000000001</v>
      </c>
      <c r="AQ18" s="95">
        <v>1.1000000000000001</v>
      </c>
    </row>
    <row r="19" spans="1:81" ht="14.25">
      <c r="A19" s="396">
        <v>85</v>
      </c>
      <c r="B19" s="396">
        <v>1.17</v>
      </c>
      <c r="C19" s="396">
        <v>8</v>
      </c>
      <c r="D19" s="396">
        <v>10.1</v>
      </c>
      <c r="E19" s="396"/>
      <c r="F19" s="406"/>
      <c r="G19" s="406"/>
      <c r="H19" s="406"/>
      <c r="I19" s="406"/>
      <c r="J19" s="396">
        <v>85</v>
      </c>
      <c r="K19" s="396">
        <v>1.17</v>
      </c>
      <c r="L19" s="396">
        <v>8</v>
      </c>
      <c r="M19" s="396">
        <v>10.1</v>
      </c>
      <c r="N19" s="396"/>
      <c r="O19" s="406"/>
      <c r="P19" s="406"/>
      <c r="R19" s="394">
        <f t="shared" si="0"/>
        <v>6.6111111111119598</v>
      </c>
      <c r="AA19" s="113">
        <f t="shared" ref="AA19:AH19" si="11">AJ184</f>
        <v>4.9307980601537906</v>
      </c>
      <c r="AB19" s="113">
        <f t="shared" si="11"/>
        <v>5.3595631088628171</v>
      </c>
      <c r="AC19" s="113">
        <f t="shared" si="11"/>
        <v>5.5754640276886382</v>
      </c>
      <c r="AD19" s="113">
        <f t="shared" si="11"/>
        <v>6.109901944103612</v>
      </c>
      <c r="AE19" s="113" t="e">
        <f t="shared" si="11"/>
        <v>#N/A</v>
      </c>
      <c r="AF19" s="113" t="e">
        <f t="shared" si="11"/>
        <v>#N/A</v>
      </c>
      <c r="AG19" s="113" t="e">
        <f t="shared" si="11"/>
        <v>#N/A</v>
      </c>
      <c r="AH19" s="113" t="e">
        <f t="shared" si="11"/>
        <v>#N/A</v>
      </c>
      <c r="AI19" s="98">
        <v>-72</v>
      </c>
      <c r="AJ19" s="93">
        <v>1.1000000000000001</v>
      </c>
      <c r="AK19" s="94">
        <v>1.1000000000000001</v>
      </c>
      <c r="AL19" s="94">
        <v>1.1000000000000001</v>
      </c>
      <c r="AM19" s="94">
        <v>1.1000000000000001</v>
      </c>
      <c r="AN19" s="94">
        <v>1.1000000000000001</v>
      </c>
      <c r="AO19" s="94">
        <v>1.1000000000000001</v>
      </c>
      <c r="AP19" s="94">
        <v>1.1000000000000001</v>
      </c>
      <c r="AQ19" s="95">
        <v>1.1000000000000001</v>
      </c>
      <c r="AU19" s="992" t="s">
        <v>147</v>
      </c>
      <c r="AV19" s="992"/>
      <c r="AW19" s="992"/>
      <c r="AX19" s="992"/>
      <c r="AY19" s="992"/>
      <c r="AZ19" s="992"/>
      <c r="BA19" s="992"/>
      <c r="BB19" s="992"/>
      <c r="BD19" s="986" t="s">
        <v>147</v>
      </c>
      <c r="BE19" s="986"/>
      <c r="BF19" s="986"/>
      <c r="BG19" s="986"/>
      <c r="BH19" s="986"/>
      <c r="BI19" s="986"/>
      <c r="BJ19" s="986"/>
      <c r="BK19" s="986"/>
      <c r="BM19" s="986" t="s">
        <v>147</v>
      </c>
      <c r="BN19" s="986"/>
      <c r="BO19" s="986"/>
      <c r="BP19" s="986"/>
      <c r="BQ19" s="986"/>
      <c r="BR19" s="986"/>
      <c r="BS19" s="986"/>
      <c r="BT19" s="986"/>
      <c r="BV19" s="986" t="s">
        <v>147</v>
      </c>
      <c r="BW19" s="986"/>
      <c r="BX19" s="986"/>
      <c r="BY19" s="986"/>
      <c r="BZ19" s="986"/>
      <c r="CA19" s="986"/>
      <c r="CB19" s="986"/>
      <c r="CC19" s="986"/>
    </row>
    <row r="20" spans="1:81" ht="15" thickBot="1">
      <c r="A20" s="396">
        <v>80</v>
      </c>
      <c r="B20" s="396">
        <v>1.2</v>
      </c>
      <c r="C20" s="396">
        <v>9</v>
      </c>
      <c r="D20" s="396">
        <v>11.3</v>
      </c>
      <c r="E20" s="396"/>
      <c r="F20" s="406"/>
      <c r="G20" s="406"/>
      <c r="H20" s="406"/>
      <c r="I20" s="406"/>
      <c r="J20" s="396">
        <v>80</v>
      </c>
      <c r="K20" s="396">
        <v>1.2</v>
      </c>
      <c r="L20" s="396">
        <v>9</v>
      </c>
      <c r="M20" s="396">
        <v>11.3</v>
      </c>
      <c r="N20" s="396"/>
      <c r="O20" s="406"/>
      <c r="P20" s="406"/>
      <c r="R20" s="394">
        <f t="shared" si="0"/>
        <v>7.0000000000008491</v>
      </c>
      <c r="AA20" s="113">
        <f>X4-AA19</f>
        <v>264.06920193984621</v>
      </c>
      <c r="AB20" s="113">
        <f>X4-AB19</f>
        <v>263.6404368911372</v>
      </c>
      <c r="AC20" s="89">
        <f>X4-AC19</f>
        <v>263.42453597231139</v>
      </c>
      <c r="AD20" s="89">
        <f>X4-AD19</f>
        <v>262.89009805589637</v>
      </c>
      <c r="AE20" s="89" t="e">
        <f>X4-AE19</f>
        <v>#N/A</v>
      </c>
      <c r="AF20" s="89" t="e">
        <f>X4-AF19</f>
        <v>#N/A</v>
      </c>
      <c r="AG20" s="89" t="e">
        <f>X4-AG19</f>
        <v>#N/A</v>
      </c>
      <c r="AH20" s="89" t="e">
        <f>X4-AH19</f>
        <v>#N/A</v>
      </c>
      <c r="AI20" s="98">
        <v>-71</v>
      </c>
      <c r="AJ20" s="93">
        <v>1.1000000000000001</v>
      </c>
      <c r="AK20" s="94">
        <v>1.1000000000000001</v>
      </c>
      <c r="AL20" s="94">
        <v>1.1000000000000001</v>
      </c>
      <c r="AM20" s="94">
        <v>1.1000000000000001</v>
      </c>
      <c r="AN20" s="94">
        <v>1.1000000000000001</v>
      </c>
      <c r="AO20" s="94">
        <v>1.1000000000000001</v>
      </c>
      <c r="AP20" s="94">
        <v>1.1000000000000001</v>
      </c>
      <c r="AQ20" s="95">
        <v>1.1000000000000001</v>
      </c>
      <c r="AU20" s="114" t="s">
        <v>156</v>
      </c>
      <c r="AV20" s="112" t="s">
        <v>157</v>
      </c>
      <c r="AW20" s="112" t="s">
        <v>158</v>
      </c>
      <c r="AX20" s="112" t="s">
        <v>159</v>
      </c>
      <c r="AY20" s="112" t="s">
        <v>160</v>
      </c>
      <c r="AZ20" s="112" t="s">
        <v>161</v>
      </c>
      <c r="BA20" s="112" t="s">
        <v>162</v>
      </c>
      <c r="BB20" s="115" t="s">
        <v>163</v>
      </c>
      <c r="BD20" s="93" t="s">
        <v>156</v>
      </c>
      <c r="BE20" s="94" t="s">
        <v>157</v>
      </c>
      <c r="BF20" s="94" t="s">
        <v>158</v>
      </c>
      <c r="BG20" s="94" t="s">
        <v>159</v>
      </c>
      <c r="BH20" s="94" t="s">
        <v>160</v>
      </c>
      <c r="BI20" s="94" t="s">
        <v>161</v>
      </c>
      <c r="BJ20" s="94" t="s">
        <v>162</v>
      </c>
      <c r="BK20" s="95" t="s">
        <v>163</v>
      </c>
      <c r="BM20" s="93" t="s">
        <v>156</v>
      </c>
      <c r="BN20" s="94" t="s">
        <v>157</v>
      </c>
      <c r="BO20" s="94" t="s">
        <v>158</v>
      </c>
      <c r="BP20" s="94" t="s">
        <v>159</v>
      </c>
      <c r="BQ20" s="94" t="s">
        <v>160</v>
      </c>
      <c r="BR20" s="94" t="s">
        <v>161</v>
      </c>
      <c r="BS20" s="94" t="s">
        <v>162</v>
      </c>
      <c r="BT20" s="95" t="s">
        <v>163</v>
      </c>
      <c r="BV20" s="116" t="s">
        <v>156</v>
      </c>
      <c r="BW20" s="117" t="s">
        <v>157</v>
      </c>
      <c r="BX20" s="117" t="s">
        <v>158</v>
      </c>
      <c r="BY20" s="117" t="s">
        <v>159</v>
      </c>
      <c r="BZ20" s="117" t="s">
        <v>160</v>
      </c>
      <c r="CA20" s="117" t="s">
        <v>161</v>
      </c>
      <c r="CB20" s="117" t="s">
        <v>162</v>
      </c>
      <c r="CC20" s="118" t="s">
        <v>163</v>
      </c>
    </row>
    <row r="21" spans="1:81" ht="14.25">
      <c r="A21" s="396">
        <v>75</v>
      </c>
      <c r="B21" s="396">
        <v>1.25</v>
      </c>
      <c r="C21" s="396">
        <v>10</v>
      </c>
      <c r="D21" s="396">
        <v>12.7</v>
      </c>
      <c r="E21" s="396"/>
      <c r="F21" s="406"/>
      <c r="G21" s="406"/>
      <c r="H21" s="406"/>
      <c r="I21" s="406"/>
      <c r="J21" s="396">
        <v>75</v>
      </c>
      <c r="K21" s="396">
        <v>1.25</v>
      </c>
      <c r="L21" s="396">
        <v>10</v>
      </c>
      <c r="M21" s="396">
        <v>12.7</v>
      </c>
      <c r="N21" s="396"/>
      <c r="O21" s="406"/>
      <c r="P21" s="406"/>
      <c r="R21" s="394">
        <f t="shared" si="0"/>
        <v>7.3888888888897384</v>
      </c>
      <c r="AA21" s="89">
        <f t="shared" ref="AA21:AH21" si="12">AU194</f>
        <v>-3.1692</v>
      </c>
      <c r="AB21" s="89">
        <f t="shared" si="12"/>
        <v>-3.1692</v>
      </c>
      <c r="AC21" s="89">
        <f t="shared" si="12"/>
        <v>-2.9189999999999996</v>
      </c>
      <c r="AD21" s="89">
        <f t="shared" si="12"/>
        <v>-2.5019999999999998</v>
      </c>
      <c r="AE21" s="89" t="e">
        <f t="shared" si="12"/>
        <v>#N/A</v>
      </c>
      <c r="AF21" s="89" t="e">
        <f t="shared" si="12"/>
        <v>#N/A</v>
      </c>
      <c r="AG21" s="89" t="e">
        <f t="shared" si="12"/>
        <v>#N/A</v>
      </c>
      <c r="AH21" s="89" t="e">
        <f t="shared" si="12"/>
        <v>#N/A</v>
      </c>
      <c r="AI21" s="98">
        <v>-70</v>
      </c>
      <c r="AJ21" s="93">
        <v>1.1000000000000001</v>
      </c>
      <c r="AK21" s="94">
        <v>1.1000000000000001</v>
      </c>
      <c r="AL21" s="94">
        <v>1.1000000000000001</v>
      </c>
      <c r="AM21" s="94">
        <v>1.1000000000000001</v>
      </c>
      <c r="AN21" s="94">
        <v>1.1000000000000001</v>
      </c>
      <c r="AO21" s="94">
        <v>1.1000000000000001</v>
      </c>
      <c r="AP21" s="94">
        <v>1.1000000000000001</v>
      </c>
      <c r="AQ21" s="95">
        <v>1.1000000000000001</v>
      </c>
      <c r="AT21" s="119">
        <v>-88</v>
      </c>
      <c r="AU21" s="114">
        <v>0.38</v>
      </c>
      <c r="AV21" s="112">
        <v>0.38</v>
      </c>
      <c r="AW21" s="112">
        <v>0.35</v>
      </c>
      <c r="AX21" s="112">
        <v>0.3</v>
      </c>
      <c r="AY21" s="112">
        <v>0.3</v>
      </c>
      <c r="AZ21" s="112">
        <v>0.3</v>
      </c>
      <c r="BA21" s="112">
        <v>0.3</v>
      </c>
      <c r="BB21" s="115">
        <v>0.3</v>
      </c>
      <c r="BC21" s="98">
        <v>-88</v>
      </c>
      <c r="BD21" s="93">
        <v>8.3999999999999006E-2</v>
      </c>
      <c r="BE21" s="94">
        <v>3.3999999999999003E-2</v>
      </c>
      <c r="BF21" s="94">
        <v>0.5</v>
      </c>
      <c r="BG21" s="94">
        <v>0.45</v>
      </c>
      <c r="BH21" s="94">
        <v>0.45</v>
      </c>
      <c r="BI21" s="94">
        <v>0.45</v>
      </c>
      <c r="BJ21" s="94">
        <v>0.45</v>
      </c>
      <c r="BK21" s="95">
        <v>0.45</v>
      </c>
      <c r="BL21" s="408">
        <v>-88</v>
      </c>
      <c r="BM21" s="93">
        <v>0</v>
      </c>
      <c r="BN21" s="94">
        <v>0</v>
      </c>
      <c r="BO21" s="94">
        <v>0</v>
      </c>
      <c r="BP21" s="94">
        <v>0</v>
      </c>
      <c r="BQ21" s="94">
        <v>0</v>
      </c>
      <c r="BR21" s="94">
        <v>0</v>
      </c>
      <c r="BS21" s="94">
        <v>0</v>
      </c>
      <c r="BT21" s="95">
        <v>0</v>
      </c>
      <c r="BU21" s="409">
        <v>-88</v>
      </c>
      <c r="BV21" s="120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2">
        <v>0</v>
      </c>
    </row>
    <row r="22" spans="1:81" ht="14.25">
      <c r="A22" s="396"/>
      <c r="B22" s="396"/>
      <c r="C22" s="396">
        <v>11</v>
      </c>
      <c r="D22" s="396">
        <v>13.7</v>
      </c>
      <c r="E22" s="396"/>
      <c r="F22" s="406"/>
      <c r="G22" s="406"/>
      <c r="H22" s="406"/>
      <c r="I22" s="406"/>
      <c r="J22" s="396"/>
      <c r="K22" s="396"/>
      <c r="L22" s="396">
        <v>11</v>
      </c>
      <c r="M22" s="396">
        <v>13.7</v>
      </c>
      <c r="N22" s="396"/>
      <c r="O22" s="406"/>
      <c r="P22" s="406"/>
      <c r="R22" s="394">
        <f t="shared" si="0"/>
        <v>7.7777777777786277</v>
      </c>
      <c r="AA22" s="89">
        <f t="shared" ref="AA22:AH22" si="13">BD203</f>
        <v>-2.2184400000000002</v>
      </c>
      <c r="AB22" s="89">
        <f t="shared" si="13"/>
        <v>-1.3927800000000001</v>
      </c>
      <c r="AC22" s="89">
        <f t="shared" si="13"/>
        <v>-4.17</v>
      </c>
      <c r="AD22" s="89">
        <f t="shared" si="13"/>
        <v>-3.7530000000000001</v>
      </c>
      <c r="AE22" s="89" t="e">
        <f t="shared" si="13"/>
        <v>#N/A</v>
      </c>
      <c r="AF22" s="89" t="e">
        <f t="shared" si="13"/>
        <v>#N/A</v>
      </c>
      <c r="AG22" s="89" t="e">
        <f t="shared" si="13"/>
        <v>#N/A</v>
      </c>
      <c r="AH22" s="89" t="e">
        <f t="shared" si="13"/>
        <v>#N/A</v>
      </c>
      <c r="AI22" s="98">
        <v>-69</v>
      </c>
      <c r="AJ22" s="93">
        <v>1.1000000000000001</v>
      </c>
      <c r="AK22" s="94">
        <v>1.1000000000000001</v>
      </c>
      <c r="AL22" s="94">
        <v>1.1000000000000001</v>
      </c>
      <c r="AM22" s="94">
        <v>1.1000000000000001</v>
      </c>
      <c r="AN22" s="94">
        <v>1.1000000000000001</v>
      </c>
      <c r="AO22" s="94">
        <v>1.1000000000000001</v>
      </c>
      <c r="AP22" s="94">
        <v>1.1000000000000001</v>
      </c>
      <c r="AQ22" s="95">
        <v>1.1000000000000001</v>
      </c>
      <c r="AT22" s="98">
        <v>-87</v>
      </c>
      <c r="AU22" s="114">
        <v>0.38</v>
      </c>
      <c r="AV22" s="112">
        <v>0.38</v>
      </c>
      <c r="AW22" s="112">
        <v>0.35</v>
      </c>
      <c r="AX22" s="112">
        <v>0.3</v>
      </c>
      <c r="AY22" s="112">
        <v>0.3</v>
      </c>
      <c r="AZ22" s="112">
        <v>0.3</v>
      </c>
      <c r="BA22" s="112">
        <v>0.3</v>
      </c>
      <c r="BB22" s="115">
        <v>0.3</v>
      </c>
      <c r="BC22" s="98">
        <v>-87</v>
      </c>
      <c r="BD22" s="93">
        <v>9.0999999999999012E-2</v>
      </c>
      <c r="BE22" s="94">
        <v>4.0999999999999003E-2</v>
      </c>
      <c r="BF22" s="94">
        <v>0.5</v>
      </c>
      <c r="BG22" s="94">
        <v>0.45</v>
      </c>
      <c r="BH22" s="94">
        <v>0.45</v>
      </c>
      <c r="BI22" s="94">
        <v>0.45</v>
      </c>
      <c r="BJ22" s="94">
        <v>0.45</v>
      </c>
      <c r="BK22" s="95">
        <v>0.45</v>
      </c>
      <c r="BL22" s="123">
        <v>-87</v>
      </c>
      <c r="BM22" s="93">
        <v>0</v>
      </c>
      <c r="BN22" s="94">
        <v>0</v>
      </c>
      <c r="BO22" s="94">
        <v>0</v>
      </c>
      <c r="BP22" s="94">
        <v>0</v>
      </c>
      <c r="BQ22" s="94">
        <v>0</v>
      </c>
      <c r="BR22" s="94">
        <v>0</v>
      </c>
      <c r="BS22" s="94">
        <v>0</v>
      </c>
      <c r="BT22" s="95">
        <v>0</v>
      </c>
      <c r="BU22" s="124">
        <v>-87</v>
      </c>
      <c r="BV22" s="120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2">
        <v>0</v>
      </c>
    </row>
    <row r="23" spans="1:81" ht="14.25">
      <c r="A23" s="396"/>
      <c r="B23" s="396">
        <f>INDEX(B17:B21,MATCH(B7,A17:A21,0))</f>
        <v>1</v>
      </c>
      <c r="C23" s="396">
        <v>12</v>
      </c>
      <c r="D23" s="396">
        <v>14.9</v>
      </c>
      <c r="E23" s="396"/>
      <c r="F23" s="406"/>
      <c r="G23" s="406"/>
      <c r="H23" s="406"/>
      <c r="I23" s="406"/>
      <c r="J23" s="396"/>
      <c r="K23" s="396">
        <f>INDEX(K17:K21,MATCH(J7,J17:J21,0))</f>
        <v>1</v>
      </c>
      <c r="L23" s="396">
        <v>12</v>
      </c>
      <c r="M23" s="396">
        <v>14.9</v>
      </c>
      <c r="N23" s="396"/>
      <c r="O23" s="406"/>
      <c r="P23" s="406"/>
      <c r="R23" s="394">
        <f t="shared" si="0"/>
        <v>8.1666666666675169</v>
      </c>
      <c r="AA23" s="89">
        <f>IF(X3&lt;0,AA21,AA22)</f>
        <v>-3.1692</v>
      </c>
      <c r="AB23" s="89">
        <f>IF(X3&lt;0,AB21,AB22)</f>
        <v>-3.1692</v>
      </c>
      <c r="AC23" s="89">
        <f>IF(X3&lt;0,AC21,AC22)</f>
        <v>-2.9189999999999996</v>
      </c>
      <c r="AD23" s="89">
        <f>IF(X3&lt;0,AD21,AD22)</f>
        <v>-2.5019999999999998</v>
      </c>
      <c r="AE23" s="89" t="e">
        <f>IF(X3&lt;0,AE21,AE22)</f>
        <v>#N/A</v>
      </c>
      <c r="AF23" s="89" t="e">
        <f>IF(X3&lt;0,AF21,AF22)</f>
        <v>#N/A</v>
      </c>
      <c r="AG23" s="89" t="e">
        <f>IF(X3&lt;0,AG21,AG22)</f>
        <v>#N/A</v>
      </c>
      <c r="AH23" s="89" t="e">
        <f>IF(X3&lt;0,AH21,AH22)</f>
        <v>#N/A</v>
      </c>
      <c r="AI23" s="98">
        <v>-68</v>
      </c>
      <c r="AJ23" s="93">
        <v>1.1000000000000001</v>
      </c>
      <c r="AK23" s="94">
        <v>1.1000000000000001</v>
      </c>
      <c r="AL23" s="94">
        <v>1.1000000000000001</v>
      </c>
      <c r="AM23" s="94">
        <v>1.1000000000000001</v>
      </c>
      <c r="AN23" s="94">
        <v>1.1000000000000001</v>
      </c>
      <c r="AO23" s="94">
        <v>1.1000000000000001</v>
      </c>
      <c r="AP23" s="94">
        <v>1.1000000000000001</v>
      </c>
      <c r="AQ23" s="95">
        <v>1.1000000000000001</v>
      </c>
      <c r="AT23" s="98">
        <v>-86</v>
      </c>
      <c r="AU23" s="114">
        <v>0.38</v>
      </c>
      <c r="AV23" s="112">
        <v>0.38</v>
      </c>
      <c r="AW23" s="112">
        <v>0.35</v>
      </c>
      <c r="AX23" s="112">
        <v>0.3</v>
      </c>
      <c r="AY23" s="112">
        <v>0.3</v>
      </c>
      <c r="AZ23" s="112">
        <v>0.3</v>
      </c>
      <c r="BA23" s="112">
        <v>0.3</v>
      </c>
      <c r="BB23" s="115">
        <v>0.3</v>
      </c>
      <c r="BC23" s="98">
        <v>-86</v>
      </c>
      <c r="BD23" s="93">
        <v>9.7999999999999005E-2</v>
      </c>
      <c r="BE23" s="94">
        <v>4.7999999999999002E-2</v>
      </c>
      <c r="BF23" s="94">
        <v>0.5</v>
      </c>
      <c r="BG23" s="94">
        <v>0.45</v>
      </c>
      <c r="BH23" s="94">
        <v>0.45</v>
      </c>
      <c r="BI23" s="94">
        <v>0.45</v>
      </c>
      <c r="BJ23" s="94">
        <v>0.45</v>
      </c>
      <c r="BK23" s="95">
        <v>0.45</v>
      </c>
      <c r="BL23" s="123">
        <v>-86</v>
      </c>
      <c r="BM23" s="93">
        <v>0</v>
      </c>
      <c r="BN23" s="94">
        <v>0</v>
      </c>
      <c r="BO23" s="94">
        <v>0</v>
      </c>
      <c r="BP23" s="94">
        <v>0</v>
      </c>
      <c r="BQ23" s="94">
        <v>0</v>
      </c>
      <c r="BR23" s="94">
        <v>0</v>
      </c>
      <c r="BS23" s="94">
        <v>0</v>
      </c>
      <c r="BT23" s="95">
        <v>0</v>
      </c>
      <c r="BU23" s="124">
        <v>-86</v>
      </c>
      <c r="BV23" s="120">
        <v>0</v>
      </c>
      <c r="BW23" s="121">
        <v>0</v>
      </c>
      <c r="BX23" s="121">
        <v>0</v>
      </c>
      <c r="BY23" s="121">
        <v>0</v>
      </c>
      <c r="BZ23" s="121">
        <v>0</v>
      </c>
      <c r="CA23" s="121">
        <v>0</v>
      </c>
      <c r="CB23" s="121">
        <v>0</v>
      </c>
      <c r="CC23" s="122">
        <v>0</v>
      </c>
    </row>
    <row r="24" spans="1:81" ht="14.25">
      <c r="A24" s="396"/>
      <c r="B24" s="396"/>
      <c r="C24" s="396">
        <v>13</v>
      </c>
      <c r="D24" s="396">
        <v>16.100000000000001</v>
      </c>
      <c r="E24" s="396"/>
      <c r="F24" s="406"/>
      <c r="G24" s="406"/>
      <c r="H24" s="406"/>
      <c r="I24" s="406"/>
      <c r="J24" s="396"/>
      <c r="K24" s="396"/>
      <c r="L24" s="396">
        <v>13</v>
      </c>
      <c r="M24" s="396">
        <v>16.100000000000001</v>
      </c>
      <c r="N24" s="396"/>
      <c r="O24" s="406"/>
      <c r="P24" s="406"/>
      <c r="R24" s="394">
        <f t="shared" si="0"/>
        <v>8.5555555555564062</v>
      </c>
      <c r="AA24" s="89">
        <f t="shared" ref="AA24:AH24" si="14">IF(AA19&gt;0,IF(AA18&lt;5,AA23*0.9,AA23*(0.9-(AA18*0.01))),AA23*(1.05-(AA18*0.01)))</f>
        <v>-2.8522799999999999</v>
      </c>
      <c r="AB24" s="89">
        <f t="shared" si="14"/>
        <v>-2.8522799999999999</v>
      </c>
      <c r="AC24" s="89">
        <f t="shared" si="14"/>
        <v>-2.6270999999999995</v>
      </c>
      <c r="AD24" s="89">
        <f t="shared" si="14"/>
        <v>-2.2517999999999998</v>
      </c>
      <c r="AE24" s="89" t="e">
        <f t="shared" si="14"/>
        <v>#N/A</v>
      </c>
      <c r="AF24" s="89" t="e">
        <f t="shared" si="14"/>
        <v>#N/A</v>
      </c>
      <c r="AG24" s="89" t="e">
        <f t="shared" si="14"/>
        <v>#N/A</v>
      </c>
      <c r="AH24" s="89" t="e">
        <f t="shared" si="14"/>
        <v>#N/A</v>
      </c>
      <c r="AI24" s="98">
        <v>-67</v>
      </c>
      <c r="AJ24" s="93">
        <v>1.1000000000000001</v>
      </c>
      <c r="AK24" s="94">
        <v>1.1000000000000001</v>
      </c>
      <c r="AL24" s="94">
        <v>1.1000000000000001</v>
      </c>
      <c r="AM24" s="94">
        <v>1.1000000000000001</v>
      </c>
      <c r="AN24" s="94">
        <v>1.1000000000000001</v>
      </c>
      <c r="AO24" s="94">
        <v>1.1000000000000001</v>
      </c>
      <c r="AP24" s="94">
        <v>1.1000000000000001</v>
      </c>
      <c r="AQ24" s="95">
        <v>1.1000000000000001</v>
      </c>
      <c r="AT24" s="98">
        <v>-85</v>
      </c>
      <c r="AU24" s="114">
        <v>0.38</v>
      </c>
      <c r="AV24" s="112">
        <v>0.38</v>
      </c>
      <c r="AW24" s="112">
        <v>0.35</v>
      </c>
      <c r="AX24" s="112">
        <v>0.3</v>
      </c>
      <c r="AY24" s="112">
        <v>0.3</v>
      </c>
      <c r="AZ24" s="112">
        <v>0.3</v>
      </c>
      <c r="BA24" s="112">
        <v>0.3</v>
      </c>
      <c r="BB24" s="115">
        <v>0.3</v>
      </c>
      <c r="BC24" s="98">
        <v>-85</v>
      </c>
      <c r="BD24" s="93">
        <v>0.10499999999999901</v>
      </c>
      <c r="BE24" s="94">
        <v>5.4999999999999001E-2</v>
      </c>
      <c r="BF24" s="94">
        <v>0.5</v>
      </c>
      <c r="BG24" s="94">
        <v>0.45</v>
      </c>
      <c r="BH24" s="94">
        <v>0.45</v>
      </c>
      <c r="BI24" s="94">
        <v>0.45</v>
      </c>
      <c r="BJ24" s="94">
        <v>0.45</v>
      </c>
      <c r="BK24" s="95">
        <v>0.45</v>
      </c>
      <c r="BL24" s="123">
        <v>-85</v>
      </c>
      <c r="BM24" s="93">
        <v>0</v>
      </c>
      <c r="BN24" s="94">
        <v>0</v>
      </c>
      <c r="BO24" s="94">
        <v>0</v>
      </c>
      <c r="BP24" s="94">
        <v>0</v>
      </c>
      <c r="BQ24" s="94">
        <v>0</v>
      </c>
      <c r="BR24" s="94">
        <v>0</v>
      </c>
      <c r="BS24" s="94">
        <v>0</v>
      </c>
      <c r="BT24" s="95">
        <v>0</v>
      </c>
      <c r="BU24" s="124">
        <v>-85</v>
      </c>
      <c r="BV24" s="120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2">
        <v>0</v>
      </c>
    </row>
    <row r="25" spans="1:81" ht="14.25">
      <c r="A25" s="396">
        <v>10</v>
      </c>
      <c r="B25" s="396">
        <v>1.7000000000000001E-2</v>
      </c>
      <c r="C25" s="396">
        <v>14</v>
      </c>
      <c r="D25" s="396">
        <v>17.3</v>
      </c>
      <c r="E25" s="396"/>
      <c r="F25" s="406"/>
      <c r="G25" s="406"/>
      <c r="H25" s="406"/>
      <c r="I25" s="406"/>
      <c r="J25" s="396">
        <v>10</v>
      </c>
      <c r="K25" s="396">
        <v>1.7000000000000001E-2</v>
      </c>
      <c r="L25" s="396">
        <v>14</v>
      </c>
      <c r="M25" s="396">
        <v>17.3</v>
      </c>
      <c r="N25" s="396"/>
      <c r="O25" s="406"/>
      <c r="P25" s="406"/>
      <c r="R25" s="394">
        <f t="shared" si="0"/>
        <v>8.9444444444452955</v>
      </c>
      <c r="AA25" s="89">
        <f>IF(X3&lt;0,AA20+AA23+AA16,IF(X3&gt;0,AA20+AA23+AA16))</f>
        <v>260.90000193984622</v>
      </c>
      <c r="AB25" s="89">
        <f>IF(X3&lt;0,AB20+AB23+AB16,IF(X3&gt;0,AB20+AB23+AB16))</f>
        <v>260.47123689113721</v>
      </c>
      <c r="AC25" s="89">
        <f>IF(X3&lt;0,AC20+AC23+AC16,IF(X3&gt;0,AC20+AC23+AC16))</f>
        <v>260.50553597231141</v>
      </c>
      <c r="AD25" s="89">
        <f>IF(X3&lt;0,AD20+AD23+AD16,IF(X3&gt;0,AD20+AD23+AD16))</f>
        <v>260.38809805589636</v>
      </c>
      <c r="AE25" s="89" t="e">
        <f>IF(X3&lt;0,AE20+AE23+AE16,IF(X3&gt;0,AE20+AE23+AE16))</f>
        <v>#N/A</v>
      </c>
      <c r="AF25" s="89" t="e">
        <f>IF(X3&lt;0,AF20+AF23+AF16,IF(X3&gt;0,AF20+AF23+AF16))</f>
        <v>#N/A</v>
      </c>
      <c r="AG25" s="89" t="e">
        <f>IF(X3&lt;0,AG20+AG23+AG16,IF(X3&gt;0,AG20+AG23+AG16))</f>
        <v>#N/A</v>
      </c>
      <c r="AH25" s="89" t="e">
        <f>IF(X3&lt;0,AH20+AH23+AH16,IF(X3&gt;0,AH20+AH23+AH16))</f>
        <v>#N/A</v>
      </c>
      <c r="AI25" s="98">
        <v>-66</v>
      </c>
      <c r="AJ25" s="93">
        <v>1.1000000000000001</v>
      </c>
      <c r="AK25" s="94">
        <v>1.1000000000000001</v>
      </c>
      <c r="AL25" s="94">
        <v>1.1000000000000001</v>
      </c>
      <c r="AM25" s="94">
        <v>1.1000000000000001</v>
      </c>
      <c r="AN25" s="94">
        <v>1.1000000000000001</v>
      </c>
      <c r="AO25" s="94">
        <v>1.1000000000000001</v>
      </c>
      <c r="AP25" s="94">
        <v>1.1000000000000001</v>
      </c>
      <c r="AQ25" s="95">
        <v>1.1000000000000001</v>
      </c>
      <c r="AT25" s="98">
        <v>-84</v>
      </c>
      <c r="AU25" s="114">
        <v>0.38</v>
      </c>
      <c r="AV25" s="112">
        <v>0.38</v>
      </c>
      <c r="AW25" s="112">
        <v>0.35</v>
      </c>
      <c r="AX25" s="112">
        <v>0.3</v>
      </c>
      <c r="AY25" s="112">
        <v>0.3</v>
      </c>
      <c r="AZ25" s="112">
        <v>0.3</v>
      </c>
      <c r="BA25" s="112">
        <v>0.3</v>
      </c>
      <c r="BB25" s="115">
        <v>0.3</v>
      </c>
      <c r="BC25" s="98">
        <v>-84</v>
      </c>
      <c r="BD25" s="93">
        <v>0.111999999999999</v>
      </c>
      <c r="BE25" s="94">
        <v>6.1999999999999097E-2</v>
      </c>
      <c r="BF25" s="94">
        <v>0.5</v>
      </c>
      <c r="BG25" s="94">
        <v>0.45</v>
      </c>
      <c r="BH25" s="94">
        <v>0.45</v>
      </c>
      <c r="BI25" s="94">
        <v>0.45</v>
      </c>
      <c r="BJ25" s="94">
        <v>0.45</v>
      </c>
      <c r="BK25" s="95">
        <v>0.45</v>
      </c>
      <c r="BL25" s="123">
        <v>-84</v>
      </c>
      <c r="BM25" s="93">
        <v>0</v>
      </c>
      <c r="BN25" s="94">
        <v>0</v>
      </c>
      <c r="BO25" s="94">
        <v>0</v>
      </c>
      <c r="BP25" s="94">
        <v>0</v>
      </c>
      <c r="BQ25" s="94">
        <v>0</v>
      </c>
      <c r="BR25" s="94">
        <v>0</v>
      </c>
      <c r="BS25" s="94">
        <v>0</v>
      </c>
      <c r="BT25" s="95">
        <v>0</v>
      </c>
      <c r="BU25" s="124">
        <v>-84</v>
      </c>
      <c r="BV25" s="120">
        <v>0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2">
        <v>0</v>
      </c>
    </row>
    <row r="26" spans="1:81" ht="14.25">
      <c r="A26" s="396">
        <v>20</v>
      </c>
      <c r="B26" s="396">
        <v>3.4000000000000002E-2</v>
      </c>
      <c r="C26" s="396">
        <v>15</v>
      </c>
      <c r="D26" s="396">
        <v>18.399999999999999</v>
      </c>
      <c r="E26" s="396"/>
      <c r="F26" s="406"/>
      <c r="G26" s="406"/>
      <c r="H26" s="406"/>
      <c r="I26" s="406"/>
      <c r="J26" s="396">
        <v>20</v>
      </c>
      <c r="K26" s="396">
        <v>3.4000000000000002E-2</v>
      </c>
      <c r="L26" s="396">
        <v>15</v>
      </c>
      <c r="M26" s="396">
        <v>18.399999999999999</v>
      </c>
      <c r="N26" s="396"/>
      <c r="O26" s="406"/>
      <c r="P26" s="406"/>
      <c r="R26" s="394">
        <f t="shared" si="0"/>
        <v>9.3333333333341848</v>
      </c>
      <c r="AA26" s="89">
        <f t="shared" ref="AA26:AH26" si="15">ROUND(AA25,2)</f>
        <v>260.89999999999998</v>
      </c>
      <c r="AB26" s="89">
        <f t="shared" si="15"/>
        <v>260.47000000000003</v>
      </c>
      <c r="AC26" s="89">
        <f t="shared" si="15"/>
        <v>260.51</v>
      </c>
      <c r="AD26" s="89">
        <f t="shared" si="15"/>
        <v>260.39</v>
      </c>
      <c r="AE26" s="89" t="e">
        <f t="shared" si="15"/>
        <v>#N/A</v>
      </c>
      <c r="AF26" s="89" t="e">
        <f t="shared" si="15"/>
        <v>#N/A</v>
      </c>
      <c r="AG26" s="89" t="e">
        <f t="shared" si="15"/>
        <v>#N/A</v>
      </c>
      <c r="AH26" s="89" t="e">
        <f t="shared" si="15"/>
        <v>#N/A</v>
      </c>
      <c r="AI26" s="98">
        <v>-65</v>
      </c>
      <c r="AJ26" s="93">
        <v>1.1000000000000001</v>
      </c>
      <c r="AK26" s="94">
        <v>1.1000000000000001</v>
      </c>
      <c r="AL26" s="94">
        <v>1.1000000000000001</v>
      </c>
      <c r="AM26" s="94">
        <v>1.1000000000000001</v>
      </c>
      <c r="AN26" s="94">
        <v>1.1000000000000001</v>
      </c>
      <c r="AO26" s="94">
        <v>1.1000000000000001</v>
      </c>
      <c r="AP26" s="94">
        <v>1.1000000000000001</v>
      </c>
      <c r="AQ26" s="95">
        <v>1.1000000000000001</v>
      </c>
      <c r="AT26" s="98">
        <v>-83</v>
      </c>
      <c r="AU26" s="114">
        <v>0.38</v>
      </c>
      <c r="AV26" s="112">
        <v>0.38</v>
      </c>
      <c r="AW26" s="112">
        <v>0.35</v>
      </c>
      <c r="AX26" s="112">
        <v>0.3</v>
      </c>
      <c r="AY26" s="112">
        <v>0.3</v>
      </c>
      <c r="AZ26" s="112">
        <v>0.3</v>
      </c>
      <c r="BA26" s="112">
        <v>0.3</v>
      </c>
      <c r="BB26" s="115">
        <v>0.3</v>
      </c>
      <c r="BC26" s="98">
        <v>-83</v>
      </c>
      <c r="BD26" s="93">
        <v>0.11899999999999901</v>
      </c>
      <c r="BE26" s="94">
        <v>6.8999999999999104E-2</v>
      </c>
      <c r="BF26" s="94">
        <v>0.5</v>
      </c>
      <c r="BG26" s="94">
        <v>0.45</v>
      </c>
      <c r="BH26" s="94">
        <v>0.45</v>
      </c>
      <c r="BI26" s="94">
        <v>0.45</v>
      </c>
      <c r="BJ26" s="94">
        <v>0.45</v>
      </c>
      <c r="BK26" s="95">
        <v>0.45</v>
      </c>
      <c r="BL26" s="123">
        <v>-83</v>
      </c>
      <c r="BM26" s="93">
        <v>0</v>
      </c>
      <c r="BN26" s="94">
        <v>0</v>
      </c>
      <c r="BO26" s="94">
        <v>0</v>
      </c>
      <c r="BP26" s="94">
        <v>0</v>
      </c>
      <c r="BQ26" s="94">
        <v>0</v>
      </c>
      <c r="BR26" s="94">
        <v>0</v>
      </c>
      <c r="BS26" s="94">
        <v>0</v>
      </c>
      <c r="BT26" s="95">
        <v>0</v>
      </c>
      <c r="BU26" s="124">
        <v>-83</v>
      </c>
      <c r="BV26" s="120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2">
        <v>0</v>
      </c>
    </row>
    <row r="27" spans="1:81" ht="14.25">
      <c r="A27" s="396">
        <v>30</v>
      </c>
      <c r="B27" s="396">
        <v>0.05</v>
      </c>
      <c r="C27" s="396">
        <v>16</v>
      </c>
      <c r="D27" s="396">
        <v>19.600000000000001</v>
      </c>
      <c r="E27" s="396"/>
      <c r="F27" s="406"/>
      <c r="G27" s="406"/>
      <c r="H27" s="406"/>
      <c r="I27" s="406"/>
      <c r="J27" s="396">
        <v>30</v>
      </c>
      <c r="K27" s="396">
        <v>0.05</v>
      </c>
      <c r="L27" s="396">
        <v>16</v>
      </c>
      <c r="M27" s="396">
        <v>19.600000000000001</v>
      </c>
      <c r="N27" s="396"/>
      <c r="O27" s="406"/>
      <c r="P27" s="406"/>
      <c r="R27" s="394">
        <f t="shared" si="0"/>
        <v>9.7222222222230741</v>
      </c>
      <c r="AA27" s="89">
        <f t="shared" ref="AA27:AH27" si="16">AA4-AA25</f>
        <v>-61.90000193984622</v>
      </c>
      <c r="AB27" s="89">
        <f t="shared" si="16"/>
        <v>-69.171236891137198</v>
      </c>
      <c r="AC27" s="89">
        <f t="shared" si="16"/>
        <v>-79.205535972311395</v>
      </c>
      <c r="AD27" s="89">
        <f t="shared" si="16"/>
        <v>-88.088098055896353</v>
      </c>
      <c r="AE27" s="89" t="e">
        <f t="shared" si="16"/>
        <v>#N/A</v>
      </c>
      <c r="AF27" s="89" t="e">
        <f t="shared" si="16"/>
        <v>#N/A</v>
      </c>
      <c r="AG27" s="89" t="e">
        <f t="shared" si="16"/>
        <v>#N/A</v>
      </c>
      <c r="AH27" s="89" t="e">
        <f t="shared" si="16"/>
        <v>#N/A</v>
      </c>
      <c r="AI27" s="98">
        <v>-64</v>
      </c>
      <c r="AJ27" s="93">
        <v>1.1000000000000001</v>
      </c>
      <c r="AK27" s="94">
        <v>1.1000000000000001</v>
      </c>
      <c r="AL27" s="94">
        <v>1.1000000000000001</v>
      </c>
      <c r="AM27" s="94">
        <v>1.1000000000000001</v>
      </c>
      <c r="AN27" s="94">
        <v>1.1000000000000001</v>
      </c>
      <c r="AO27" s="94">
        <v>1.1000000000000001</v>
      </c>
      <c r="AP27" s="94">
        <v>1.1000000000000001</v>
      </c>
      <c r="AQ27" s="95">
        <v>1.1000000000000001</v>
      </c>
      <c r="AT27" s="98">
        <v>-82</v>
      </c>
      <c r="AU27" s="114">
        <v>0.38</v>
      </c>
      <c r="AV27" s="112">
        <v>0.38</v>
      </c>
      <c r="AW27" s="112">
        <v>0.35</v>
      </c>
      <c r="AX27" s="112">
        <v>0.3</v>
      </c>
      <c r="AY27" s="112">
        <v>0.3</v>
      </c>
      <c r="AZ27" s="112">
        <v>0.3</v>
      </c>
      <c r="BA27" s="112">
        <v>0.3</v>
      </c>
      <c r="BB27" s="115">
        <v>0.3</v>
      </c>
      <c r="BC27" s="98">
        <v>-82</v>
      </c>
      <c r="BD27" s="93">
        <v>0.125999999999999</v>
      </c>
      <c r="BE27" s="94">
        <v>7.5999999999999096E-2</v>
      </c>
      <c r="BF27" s="94">
        <v>0.5</v>
      </c>
      <c r="BG27" s="94">
        <v>0.45</v>
      </c>
      <c r="BH27" s="94">
        <v>0.45</v>
      </c>
      <c r="BI27" s="94">
        <v>0.45</v>
      </c>
      <c r="BJ27" s="94">
        <v>0.45</v>
      </c>
      <c r="BK27" s="95">
        <v>0.45</v>
      </c>
      <c r="BL27" s="123">
        <v>-82</v>
      </c>
      <c r="BM27" s="93">
        <v>0</v>
      </c>
      <c r="BN27" s="94">
        <v>0</v>
      </c>
      <c r="BO27" s="94">
        <v>0</v>
      </c>
      <c r="BP27" s="94">
        <v>0</v>
      </c>
      <c r="BQ27" s="94">
        <v>0</v>
      </c>
      <c r="BR27" s="94">
        <v>0</v>
      </c>
      <c r="BS27" s="94">
        <v>0</v>
      </c>
      <c r="BT27" s="95">
        <v>0</v>
      </c>
      <c r="BU27" s="124">
        <v>-82</v>
      </c>
      <c r="BV27" s="120">
        <v>0</v>
      </c>
      <c r="BW27" s="121">
        <v>0</v>
      </c>
      <c r="BX27" s="121">
        <v>0</v>
      </c>
      <c r="BY27" s="121">
        <v>0</v>
      </c>
      <c r="BZ27" s="121">
        <v>0</v>
      </c>
      <c r="CA27" s="121">
        <v>0</v>
      </c>
      <c r="CB27" s="121">
        <v>0</v>
      </c>
      <c r="CC27" s="122">
        <v>0</v>
      </c>
    </row>
    <row r="28" spans="1:81" ht="14.25">
      <c r="A28" s="396">
        <v>40</v>
      </c>
      <c r="B28" s="396">
        <v>6.7000000000000004E-2</v>
      </c>
      <c r="C28" s="396">
        <v>17</v>
      </c>
      <c r="D28" s="396">
        <v>20.7</v>
      </c>
      <c r="E28" s="396"/>
      <c r="F28" s="406"/>
      <c r="G28" s="406"/>
      <c r="H28" s="406"/>
      <c r="I28" s="406"/>
      <c r="J28" s="396">
        <v>40</v>
      </c>
      <c r="K28" s="396">
        <v>6.7000000000000004E-2</v>
      </c>
      <c r="L28" s="396">
        <v>17</v>
      </c>
      <c r="M28" s="396">
        <v>20.7</v>
      </c>
      <c r="N28" s="396"/>
      <c r="O28" s="406"/>
      <c r="P28" s="406"/>
      <c r="R28" s="394">
        <f t="shared" si="0"/>
        <v>10.111111111111963</v>
      </c>
      <c r="AA28" s="113">
        <f t="shared" ref="AA28:AH28" si="17">BM184</f>
        <v>0</v>
      </c>
      <c r="AB28" s="113">
        <f t="shared" si="17"/>
        <v>0</v>
      </c>
      <c r="AC28" s="113">
        <f t="shared" si="17"/>
        <v>0</v>
      </c>
      <c r="AD28" s="113">
        <f t="shared" si="17"/>
        <v>0</v>
      </c>
      <c r="AE28" s="113" t="e">
        <f t="shared" si="17"/>
        <v>#N/A</v>
      </c>
      <c r="AF28" s="113" t="e">
        <f t="shared" si="17"/>
        <v>#N/A</v>
      </c>
      <c r="AG28" s="113" t="e">
        <f t="shared" si="17"/>
        <v>#N/A</v>
      </c>
      <c r="AH28" s="113" t="e">
        <f t="shared" si="17"/>
        <v>#N/A</v>
      </c>
      <c r="AI28" s="98">
        <v>-63</v>
      </c>
      <c r="AJ28" s="93">
        <v>1.1000000000000001</v>
      </c>
      <c r="AK28" s="94">
        <v>1.1000000000000001</v>
      </c>
      <c r="AL28" s="94">
        <v>1.1000000000000001</v>
      </c>
      <c r="AM28" s="94">
        <v>1.1000000000000001</v>
      </c>
      <c r="AN28" s="94">
        <v>1.1000000000000001</v>
      </c>
      <c r="AO28" s="94">
        <v>1.1000000000000001</v>
      </c>
      <c r="AP28" s="94">
        <v>1.1000000000000001</v>
      </c>
      <c r="AQ28" s="95">
        <v>1.1000000000000001</v>
      </c>
      <c r="AT28" s="98">
        <v>-81</v>
      </c>
      <c r="AU28" s="114">
        <v>0.38</v>
      </c>
      <c r="AV28" s="112">
        <v>0.38</v>
      </c>
      <c r="AW28" s="112">
        <v>0.35</v>
      </c>
      <c r="AX28" s="112">
        <v>0.3</v>
      </c>
      <c r="AY28" s="112">
        <v>0.3</v>
      </c>
      <c r="AZ28" s="112">
        <v>0.3</v>
      </c>
      <c r="BA28" s="112">
        <v>0.3</v>
      </c>
      <c r="BB28" s="115">
        <v>0.3</v>
      </c>
      <c r="BC28" s="98">
        <v>-81</v>
      </c>
      <c r="BD28" s="93">
        <v>0.13299999999999901</v>
      </c>
      <c r="BE28" s="94">
        <v>8.2999999999999102E-2</v>
      </c>
      <c r="BF28" s="94">
        <v>0.5</v>
      </c>
      <c r="BG28" s="94">
        <v>0.45</v>
      </c>
      <c r="BH28" s="94">
        <v>0.45</v>
      </c>
      <c r="BI28" s="94">
        <v>0.45</v>
      </c>
      <c r="BJ28" s="94">
        <v>0.45</v>
      </c>
      <c r="BK28" s="95">
        <v>0.45</v>
      </c>
      <c r="BL28" s="123">
        <v>-81</v>
      </c>
      <c r="BM28" s="93">
        <v>0</v>
      </c>
      <c r="BN28" s="94">
        <v>0</v>
      </c>
      <c r="BO28" s="94">
        <v>0</v>
      </c>
      <c r="BP28" s="94">
        <v>0</v>
      </c>
      <c r="BQ28" s="94">
        <v>0</v>
      </c>
      <c r="BR28" s="94">
        <v>0</v>
      </c>
      <c r="BS28" s="94">
        <v>0</v>
      </c>
      <c r="BT28" s="95">
        <v>0</v>
      </c>
      <c r="BU28" s="124">
        <v>-81</v>
      </c>
      <c r="BV28" s="120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2">
        <v>0</v>
      </c>
    </row>
    <row r="29" spans="1:81" ht="14.25">
      <c r="A29" s="396">
        <v>50</v>
      </c>
      <c r="B29" s="396">
        <v>8.4000000000000005E-2</v>
      </c>
      <c r="C29" s="396">
        <v>18</v>
      </c>
      <c r="D29" s="396">
        <v>21.9</v>
      </c>
      <c r="E29" s="396"/>
      <c r="F29" s="406"/>
      <c r="G29" s="406"/>
      <c r="H29" s="406"/>
      <c r="I29" s="406"/>
      <c r="J29" s="396">
        <v>50</v>
      </c>
      <c r="K29" s="396">
        <v>8.4000000000000005E-2</v>
      </c>
      <c r="L29" s="396">
        <v>18</v>
      </c>
      <c r="M29" s="396">
        <v>21.9</v>
      </c>
      <c r="N29" s="396"/>
      <c r="O29" s="406"/>
      <c r="P29" s="406"/>
      <c r="R29" s="394">
        <f t="shared" si="0"/>
        <v>10.500000000000853</v>
      </c>
      <c r="AA29" s="89">
        <f>1.01-(AA27*AA28)</f>
        <v>1.01</v>
      </c>
      <c r="AB29" s="89">
        <f t="shared" ref="AB29:AH29" si="18">1.01-(AB27*AB28)</f>
        <v>1.01</v>
      </c>
      <c r="AC29" s="89">
        <f t="shared" si="18"/>
        <v>1.01</v>
      </c>
      <c r="AD29" s="89">
        <f t="shared" si="18"/>
        <v>1.01</v>
      </c>
      <c r="AE29" s="89" t="e">
        <f t="shared" si="18"/>
        <v>#N/A</v>
      </c>
      <c r="AF29" s="89" t="e">
        <f t="shared" si="18"/>
        <v>#N/A</v>
      </c>
      <c r="AG29" s="89" t="e">
        <f t="shared" si="18"/>
        <v>#N/A</v>
      </c>
      <c r="AH29" s="89" t="e">
        <f t="shared" si="18"/>
        <v>#N/A</v>
      </c>
      <c r="AI29" s="98">
        <v>-62</v>
      </c>
      <c r="AJ29" s="93">
        <v>1.1000000000000001</v>
      </c>
      <c r="AK29" s="94">
        <v>1.1000000000000001</v>
      </c>
      <c r="AL29" s="94">
        <v>1.1000000000000001</v>
      </c>
      <c r="AM29" s="94">
        <v>1.1000000000000001</v>
      </c>
      <c r="AN29" s="94">
        <v>1.1000000000000001</v>
      </c>
      <c r="AO29" s="94">
        <v>1.1000000000000001</v>
      </c>
      <c r="AP29" s="94">
        <v>1.1000000000000001</v>
      </c>
      <c r="AQ29" s="95">
        <v>1.1000000000000001</v>
      </c>
      <c r="AT29" s="98">
        <v>-80</v>
      </c>
      <c r="AU29" s="114">
        <v>0.38</v>
      </c>
      <c r="AV29" s="112">
        <v>0.38</v>
      </c>
      <c r="AW29" s="112">
        <v>0.35</v>
      </c>
      <c r="AX29" s="112">
        <v>0.3</v>
      </c>
      <c r="AY29" s="112">
        <v>0.3</v>
      </c>
      <c r="AZ29" s="112">
        <v>0.3</v>
      </c>
      <c r="BA29" s="112">
        <v>0.3</v>
      </c>
      <c r="BB29" s="115">
        <v>0.3</v>
      </c>
      <c r="BC29" s="98">
        <v>-80</v>
      </c>
      <c r="BD29" s="93">
        <v>0.14000000000000001</v>
      </c>
      <c r="BE29" s="94">
        <v>0.09</v>
      </c>
      <c r="BF29" s="94">
        <v>0.5</v>
      </c>
      <c r="BG29" s="94">
        <v>0.45</v>
      </c>
      <c r="BH29" s="94">
        <v>0.45</v>
      </c>
      <c r="BI29" s="94">
        <v>0.45</v>
      </c>
      <c r="BJ29" s="94">
        <v>0.45</v>
      </c>
      <c r="BK29" s="95">
        <v>0.45</v>
      </c>
      <c r="BL29" s="123">
        <v>-80</v>
      </c>
      <c r="BM29" s="93">
        <v>0</v>
      </c>
      <c r="BN29" s="94">
        <v>0</v>
      </c>
      <c r="BO29" s="94">
        <v>0</v>
      </c>
      <c r="BP29" s="94">
        <v>0</v>
      </c>
      <c r="BQ29" s="94">
        <v>0</v>
      </c>
      <c r="BR29" s="94">
        <v>0</v>
      </c>
      <c r="BS29" s="94">
        <v>0</v>
      </c>
      <c r="BT29" s="95">
        <v>0</v>
      </c>
      <c r="BU29" s="124">
        <v>-80</v>
      </c>
      <c r="BV29" s="120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2">
        <v>0</v>
      </c>
    </row>
    <row r="30" spans="1:81" ht="15" thickBot="1">
      <c r="A30" s="403">
        <v>60</v>
      </c>
      <c r="B30" s="396">
        <v>0.1</v>
      </c>
      <c r="C30" s="396">
        <v>19</v>
      </c>
      <c r="D30" s="396">
        <v>23</v>
      </c>
      <c r="E30" s="396"/>
      <c r="F30" s="406"/>
      <c r="G30" s="406"/>
      <c r="H30" s="406"/>
      <c r="I30" s="406"/>
      <c r="J30" s="403">
        <v>60</v>
      </c>
      <c r="K30" s="396">
        <v>0.1</v>
      </c>
      <c r="L30" s="396">
        <v>19</v>
      </c>
      <c r="M30" s="396">
        <v>23</v>
      </c>
      <c r="N30" s="396"/>
      <c r="O30" s="406"/>
      <c r="P30" s="406"/>
      <c r="R30" s="394">
        <f t="shared" si="0"/>
        <v>10.888888888889742</v>
      </c>
      <c r="AA30" s="125">
        <f>IF(X3&lt;0,X3/120,X3/100)</f>
        <v>-6.9499999999999992E-2</v>
      </c>
      <c r="AB30" s="125">
        <f>IF(X3&lt;0,X3/120,X3/90)</f>
        <v>-6.9499999999999992E-2</v>
      </c>
      <c r="AC30" s="125">
        <f>IF(X3&lt;0,X3/120,X3/90)</f>
        <v>-6.9499999999999992E-2</v>
      </c>
      <c r="AD30" s="125">
        <f>IF(X3&lt;0,X3/120,X3/90)</f>
        <v>-6.9499999999999992E-2</v>
      </c>
      <c r="AE30" s="125">
        <f>IF(X3&lt;0,X3/120,X3/90)</f>
        <v>-6.9499999999999992E-2</v>
      </c>
      <c r="AF30" s="125">
        <f>IF(X3&lt;0,X3/120,X3/90)</f>
        <v>-6.9499999999999992E-2</v>
      </c>
      <c r="AG30" s="125">
        <f>IF(X3&lt;0,X3/120,X3/90)</f>
        <v>-6.9499999999999992E-2</v>
      </c>
      <c r="AH30" s="125">
        <f>IF(X3&lt;0,X3/120,X3/90)</f>
        <v>-6.9499999999999992E-2</v>
      </c>
      <c r="AI30" s="98">
        <v>-61</v>
      </c>
      <c r="AJ30" s="93">
        <v>1.1000000000000001</v>
      </c>
      <c r="AK30" s="94">
        <v>1.1000000000000001</v>
      </c>
      <c r="AL30" s="94">
        <v>1.1000000000000001</v>
      </c>
      <c r="AM30" s="94">
        <v>1.1000000000000001</v>
      </c>
      <c r="AN30" s="94">
        <v>1.1000000000000001</v>
      </c>
      <c r="AO30" s="94">
        <v>1.1000000000000001</v>
      </c>
      <c r="AP30" s="94">
        <v>1.1000000000000001</v>
      </c>
      <c r="AQ30" s="95">
        <v>1.1000000000000001</v>
      </c>
      <c r="AT30" s="98">
        <v>-79</v>
      </c>
      <c r="AU30" s="114">
        <v>0.38</v>
      </c>
      <c r="AV30" s="112">
        <v>0.38</v>
      </c>
      <c r="AW30" s="112">
        <v>0.35</v>
      </c>
      <c r="AX30" s="112">
        <v>0.3</v>
      </c>
      <c r="AY30" s="112">
        <v>0.3</v>
      </c>
      <c r="AZ30" s="112">
        <v>0.3</v>
      </c>
      <c r="BA30" s="112">
        <v>0.3</v>
      </c>
      <c r="BB30" s="115">
        <v>0.3</v>
      </c>
      <c r="BC30" s="98">
        <v>-79</v>
      </c>
      <c r="BD30" s="93">
        <v>0.14699999999999999</v>
      </c>
      <c r="BE30" s="94">
        <v>9.7000000000000003E-2</v>
      </c>
      <c r="BF30" s="94">
        <v>0.5</v>
      </c>
      <c r="BG30" s="94">
        <v>0.45</v>
      </c>
      <c r="BH30" s="94">
        <v>0.45</v>
      </c>
      <c r="BI30" s="94">
        <v>0.45</v>
      </c>
      <c r="BJ30" s="94">
        <v>0.45</v>
      </c>
      <c r="BK30" s="95">
        <v>0.45</v>
      </c>
      <c r="BL30" s="123">
        <v>-79</v>
      </c>
      <c r="BM30" s="93">
        <v>0</v>
      </c>
      <c r="BN30" s="94">
        <v>0</v>
      </c>
      <c r="BO30" s="94">
        <v>0</v>
      </c>
      <c r="BP30" s="94">
        <v>0</v>
      </c>
      <c r="BQ30" s="94">
        <v>0</v>
      </c>
      <c r="BR30" s="94">
        <v>0</v>
      </c>
      <c r="BS30" s="94">
        <v>0</v>
      </c>
      <c r="BT30" s="95">
        <v>0</v>
      </c>
      <c r="BU30" s="124">
        <v>-79</v>
      </c>
      <c r="BV30" s="120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2">
        <v>0</v>
      </c>
    </row>
    <row r="31" spans="1:81" ht="15" thickBot="1">
      <c r="A31" s="405">
        <f t="array" ref="A31">INDEX(B25:B30,MATCH(MIN(ABS(A25:A30-B3)),ABS(A25:A30-B3),0))</f>
        <v>0.1</v>
      </c>
      <c r="B31" s="410"/>
      <c r="C31" s="396">
        <v>20</v>
      </c>
      <c r="D31" s="396">
        <v>24.1</v>
      </c>
      <c r="E31" s="396"/>
      <c r="F31" s="406"/>
      <c r="G31" s="406"/>
      <c r="H31" s="406"/>
      <c r="I31" s="406"/>
      <c r="J31" s="405">
        <f t="array" ref="J31">INDEX(K25:K30,MATCH(MIN(ABS(J25:J30-J3)),ABS(J25:J30-J3),0))</f>
        <v>0.1</v>
      </c>
      <c r="K31" s="410"/>
      <c r="L31" s="396">
        <v>20</v>
      </c>
      <c r="M31" s="396">
        <v>24.1</v>
      </c>
      <c r="N31" s="396"/>
      <c r="O31" s="406"/>
      <c r="P31" s="406"/>
      <c r="R31" s="394">
        <f t="shared" si="0"/>
        <v>11.277777777778631</v>
      </c>
      <c r="AA31" s="126">
        <f t="shared" ref="AA31:AH31" si="19">SIN(RADIANS($X$6))*ABS($X$5)</f>
        <v>0.1046984901075029</v>
      </c>
      <c r="AB31" s="126">
        <f t="shared" si="19"/>
        <v>0.1046984901075029</v>
      </c>
      <c r="AC31" s="126">
        <f t="shared" si="19"/>
        <v>0.1046984901075029</v>
      </c>
      <c r="AD31" s="126">
        <f t="shared" si="19"/>
        <v>0.1046984901075029</v>
      </c>
      <c r="AE31" s="126">
        <f t="shared" si="19"/>
        <v>0.1046984901075029</v>
      </c>
      <c r="AF31" s="126">
        <f t="shared" si="19"/>
        <v>0.1046984901075029</v>
      </c>
      <c r="AG31" s="126">
        <f t="shared" si="19"/>
        <v>0.1046984901075029</v>
      </c>
      <c r="AH31" s="126">
        <f t="shared" si="19"/>
        <v>0.1046984901075029</v>
      </c>
      <c r="AI31" s="98">
        <v>-60</v>
      </c>
      <c r="AJ31" s="93">
        <v>1.1000000000000001</v>
      </c>
      <c r="AK31" s="94">
        <v>1.1000000000000001</v>
      </c>
      <c r="AL31" s="94">
        <v>1.1000000000000001</v>
      </c>
      <c r="AM31" s="94">
        <v>1.1000000000000001</v>
      </c>
      <c r="AN31" s="94">
        <v>1.1000000000000001</v>
      </c>
      <c r="AO31" s="94">
        <v>1.1000000000000001</v>
      </c>
      <c r="AP31" s="94">
        <v>1.1000000000000001</v>
      </c>
      <c r="AQ31" s="95">
        <v>1.1000000000000001</v>
      </c>
      <c r="AT31" s="98">
        <v>-78</v>
      </c>
      <c r="AU31" s="114">
        <v>0.38</v>
      </c>
      <c r="AV31" s="112">
        <v>0.38</v>
      </c>
      <c r="AW31" s="112">
        <v>0.35</v>
      </c>
      <c r="AX31" s="112">
        <v>0.3</v>
      </c>
      <c r="AY31" s="112">
        <v>0.3</v>
      </c>
      <c r="AZ31" s="112">
        <v>0.3</v>
      </c>
      <c r="BA31" s="112">
        <v>0.3</v>
      </c>
      <c r="BB31" s="115">
        <v>0.3</v>
      </c>
      <c r="BC31" s="98">
        <v>-78</v>
      </c>
      <c r="BD31" s="93">
        <v>0.154</v>
      </c>
      <c r="BE31" s="94">
        <v>0.10400000000000001</v>
      </c>
      <c r="BF31" s="94">
        <v>0.5</v>
      </c>
      <c r="BG31" s="94">
        <v>0.45</v>
      </c>
      <c r="BH31" s="94">
        <v>0.45</v>
      </c>
      <c r="BI31" s="94">
        <v>0.45</v>
      </c>
      <c r="BJ31" s="94">
        <v>0.45</v>
      </c>
      <c r="BK31" s="95">
        <v>0.45</v>
      </c>
      <c r="BL31" s="123">
        <v>-78</v>
      </c>
      <c r="BM31" s="93">
        <v>0</v>
      </c>
      <c r="BN31" s="94">
        <v>0</v>
      </c>
      <c r="BO31" s="94">
        <v>0</v>
      </c>
      <c r="BP31" s="94">
        <v>0</v>
      </c>
      <c r="BQ31" s="94">
        <v>0</v>
      </c>
      <c r="BR31" s="94">
        <v>0</v>
      </c>
      <c r="BS31" s="94">
        <v>0</v>
      </c>
      <c r="BT31" s="95">
        <v>0</v>
      </c>
      <c r="BU31" s="124">
        <v>-78</v>
      </c>
      <c r="BV31" s="120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2">
        <v>0</v>
      </c>
    </row>
    <row r="32" spans="1:81" ht="14.25">
      <c r="A32" s="407"/>
      <c r="B32" s="396"/>
      <c r="C32" s="396">
        <v>21</v>
      </c>
      <c r="D32" s="396">
        <v>25.2</v>
      </c>
      <c r="E32" s="396"/>
      <c r="F32" s="406"/>
      <c r="G32" s="406"/>
      <c r="H32" s="406"/>
      <c r="I32" s="406"/>
      <c r="J32" s="407"/>
      <c r="K32" s="396"/>
      <c r="L32" s="396">
        <v>21</v>
      </c>
      <c r="M32" s="396">
        <v>25.2</v>
      </c>
      <c r="N32" s="396"/>
      <c r="O32" s="406"/>
      <c r="P32" s="406"/>
      <c r="R32" s="394">
        <f t="shared" si="0"/>
        <v>11.666666666667521</v>
      </c>
      <c r="AA32" s="89">
        <f t="shared" ref="AA32:AH32" si="20">(AA29*AA31*(AA3-AA30))</f>
        <v>0.12472678777261767</v>
      </c>
      <c r="AB32" s="89">
        <f t="shared" si="20"/>
        <v>0.13688751739860414</v>
      </c>
      <c r="AC32" s="89">
        <f t="shared" si="20"/>
        <v>0.14693333752441903</v>
      </c>
      <c r="AD32" s="89">
        <f t="shared" si="20"/>
        <v>0.15750788502527682</v>
      </c>
      <c r="AE32" s="89" t="e">
        <f t="shared" si="20"/>
        <v>#N/A</v>
      </c>
      <c r="AF32" s="89" t="e">
        <f t="shared" si="20"/>
        <v>#N/A</v>
      </c>
      <c r="AG32" s="89" t="e">
        <f t="shared" si="20"/>
        <v>#N/A</v>
      </c>
      <c r="AH32" s="89" t="e">
        <f t="shared" si="20"/>
        <v>#N/A</v>
      </c>
      <c r="AI32" s="98">
        <v>-59</v>
      </c>
      <c r="AJ32" s="93">
        <v>1.1000000000000001</v>
      </c>
      <c r="AK32" s="94">
        <v>1.1000000000000001</v>
      </c>
      <c r="AL32" s="94">
        <v>1.1000000000000001</v>
      </c>
      <c r="AM32" s="94">
        <v>1.1000000000000001</v>
      </c>
      <c r="AN32" s="94">
        <v>1.1000000000000001</v>
      </c>
      <c r="AO32" s="94">
        <v>1.1000000000000001</v>
      </c>
      <c r="AP32" s="94">
        <v>1.1000000000000001</v>
      </c>
      <c r="AQ32" s="95">
        <v>1.1000000000000001</v>
      </c>
      <c r="AT32" s="98">
        <v>-77</v>
      </c>
      <c r="AU32" s="114">
        <v>0.38</v>
      </c>
      <c r="AV32" s="112">
        <v>0.38</v>
      </c>
      <c r="AW32" s="112">
        <v>0.35</v>
      </c>
      <c r="AX32" s="112">
        <v>0.3</v>
      </c>
      <c r="AY32" s="112">
        <v>0.3</v>
      </c>
      <c r="AZ32" s="112">
        <v>0.3</v>
      </c>
      <c r="BA32" s="112">
        <v>0.3</v>
      </c>
      <c r="BB32" s="115">
        <v>0.3</v>
      </c>
      <c r="BC32" s="98">
        <v>-77</v>
      </c>
      <c r="BD32" s="93">
        <v>0.161</v>
      </c>
      <c r="BE32" s="94">
        <v>0.111</v>
      </c>
      <c r="BF32" s="94">
        <v>0.5</v>
      </c>
      <c r="BG32" s="94">
        <v>0.45</v>
      </c>
      <c r="BH32" s="94">
        <v>0.45</v>
      </c>
      <c r="BI32" s="94">
        <v>0.45</v>
      </c>
      <c r="BJ32" s="94">
        <v>0.45</v>
      </c>
      <c r="BK32" s="95">
        <v>0.45</v>
      </c>
      <c r="BL32" s="123">
        <v>-77</v>
      </c>
      <c r="BM32" s="93">
        <v>0</v>
      </c>
      <c r="BN32" s="94">
        <v>0</v>
      </c>
      <c r="BO32" s="94">
        <v>0</v>
      </c>
      <c r="BP32" s="94">
        <v>0</v>
      </c>
      <c r="BQ32" s="94">
        <v>0</v>
      </c>
      <c r="BR32" s="94">
        <v>0</v>
      </c>
      <c r="BS32" s="94">
        <v>0</v>
      </c>
      <c r="BT32" s="95">
        <v>0</v>
      </c>
      <c r="BU32" s="124">
        <v>-77</v>
      </c>
      <c r="BV32" s="120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2">
        <v>0</v>
      </c>
    </row>
    <row r="33" spans="1:81" ht="14.25">
      <c r="A33" s="396"/>
      <c r="B33" s="396"/>
      <c r="C33" s="396">
        <v>22</v>
      </c>
      <c r="D33" s="396">
        <v>26.4</v>
      </c>
      <c r="E33" s="396"/>
      <c r="F33" s="406"/>
      <c r="G33" s="406"/>
      <c r="H33" s="406"/>
      <c r="I33" s="406"/>
      <c r="J33" s="396"/>
      <c r="K33" s="396"/>
      <c r="L33" s="396">
        <v>22</v>
      </c>
      <c r="M33" s="396">
        <v>26.4</v>
      </c>
      <c r="N33" s="396"/>
      <c r="O33" s="406"/>
      <c r="P33" s="406"/>
      <c r="R33" s="394">
        <f t="shared" si="0"/>
        <v>12.05555555555641</v>
      </c>
      <c r="AA33" s="89">
        <f t="shared" ref="AA33:AH33" si="21">BV200</f>
        <v>0</v>
      </c>
      <c r="AB33" s="89">
        <f t="shared" si="21"/>
        <v>0</v>
      </c>
      <c r="AC33" s="89">
        <f t="shared" si="21"/>
        <v>0</v>
      </c>
      <c r="AD33" s="89">
        <f t="shared" si="21"/>
        <v>0</v>
      </c>
      <c r="AE33" s="89" t="e">
        <f t="shared" si="21"/>
        <v>#N/A</v>
      </c>
      <c r="AF33" s="89" t="e">
        <f t="shared" si="21"/>
        <v>#N/A</v>
      </c>
      <c r="AG33" s="89" t="e">
        <f t="shared" si="21"/>
        <v>#N/A</v>
      </c>
      <c r="AH33" s="89" t="e">
        <f t="shared" si="21"/>
        <v>#N/A</v>
      </c>
      <c r="AI33" s="98">
        <v>-58</v>
      </c>
      <c r="AJ33" s="93">
        <v>1.1000000000000001</v>
      </c>
      <c r="AK33" s="94">
        <v>1.1000000000000001</v>
      </c>
      <c r="AL33" s="94">
        <v>1.1000000000000001</v>
      </c>
      <c r="AM33" s="94">
        <v>1.1000000000000001</v>
      </c>
      <c r="AN33" s="94">
        <v>1.1000000000000001</v>
      </c>
      <c r="AO33" s="94">
        <v>1.1000000000000001</v>
      </c>
      <c r="AP33" s="94">
        <v>1.1000000000000001</v>
      </c>
      <c r="AQ33" s="95">
        <v>1.1000000000000001</v>
      </c>
      <c r="AT33" s="98">
        <v>-76</v>
      </c>
      <c r="AU33" s="114">
        <v>0.38</v>
      </c>
      <c r="AV33" s="112">
        <v>0.38</v>
      </c>
      <c r="AW33" s="112">
        <v>0.35</v>
      </c>
      <c r="AX33" s="112">
        <v>0.3</v>
      </c>
      <c r="AY33" s="112">
        <v>0.3</v>
      </c>
      <c r="AZ33" s="112">
        <v>0.3</v>
      </c>
      <c r="BA33" s="112">
        <v>0.3</v>
      </c>
      <c r="BB33" s="115">
        <v>0.3</v>
      </c>
      <c r="BC33" s="98">
        <v>-76</v>
      </c>
      <c r="BD33" s="93">
        <v>0.16800000000000001</v>
      </c>
      <c r="BE33" s="94">
        <v>0.11800000000000001</v>
      </c>
      <c r="BF33" s="94">
        <v>0.5</v>
      </c>
      <c r="BG33" s="94">
        <v>0.45</v>
      </c>
      <c r="BH33" s="94">
        <v>0.45</v>
      </c>
      <c r="BI33" s="94">
        <v>0.45</v>
      </c>
      <c r="BJ33" s="94">
        <v>0.45</v>
      </c>
      <c r="BK33" s="95">
        <v>0.45</v>
      </c>
      <c r="BL33" s="123">
        <v>-76</v>
      </c>
      <c r="BM33" s="93">
        <v>0</v>
      </c>
      <c r="BN33" s="94">
        <v>0</v>
      </c>
      <c r="BO33" s="94">
        <v>0</v>
      </c>
      <c r="BP33" s="94">
        <v>0</v>
      </c>
      <c r="BQ33" s="94">
        <v>0</v>
      </c>
      <c r="BR33" s="94">
        <v>0</v>
      </c>
      <c r="BS33" s="94">
        <v>0</v>
      </c>
      <c r="BT33" s="95">
        <v>0</v>
      </c>
      <c r="BU33" s="124">
        <v>-76</v>
      </c>
      <c r="BV33" s="120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2">
        <v>0</v>
      </c>
    </row>
    <row r="34" spans="1:81" ht="14.25">
      <c r="A34" s="396"/>
      <c r="B34" s="396"/>
      <c r="C34" s="396">
        <v>23</v>
      </c>
      <c r="D34" s="396">
        <v>27.5</v>
      </c>
      <c r="E34" s="396"/>
      <c r="F34" s="406"/>
      <c r="G34" s="406"/>
      <c r="H34" s="406"/>
      <c r="I34" s="406"/>
      <c r="J34" s="396"/>
      <c r="K34" s="396"/>
      <c r="L34" s="396">
        <v>23</v>
      </c>
      <c r="M34" s="396">
        <v>27.5</v>
      </c>
      <c r="N34" s="396"/>
      <c r="O34" s="406"/>
      <c r="P34" s="406"/>
      <c r="R34" s="394">
        <f t="shared" si="0"/>
        <v>12.444444444445299</v>
      </c>
      <c r="AA34" s="89">
        <f>1-(AA27*AA33)</f>
        <v>1</v>
      </c>
      <c r="AB34" s="89">
        <f t="shared" ref="AB34:AH34" si="22">1-(AB27*AB33)</f>
        <v>1</v>
      </c>
      <c r="AC34" s="89">
        <f t="shared" si="22"/>
        <v>1</v>
      </c>
      <c r="AD34" s="89">
        <f t="shared" si="22"/>
        <v>1</v>
      </c>
      <c r="AE34" s="89" t="e">
        <f t="shared" si="22"/>
        <v>#N/A</v>
      </c>
      <c r="AF34" s="89" t="e">
        <f t="shared" si="22"/>
        <v>#N/A</v>
      </c>
      <c r="AG34" s="89" t="e">
        <f t="shared" si="22"/>
        <v>#N/A</v>
      </c>
      <c r="AH34" s="89" t="e">
        <f t="shared" si="22"/>
        <v>#N/A</v>
      </c>
      <c r="AI34" s="98">
        <v>-57</v>
      </c>
      <c r="AJ34" s="93">
        <v>1.1000000000000001</v>
      </c>
      <c r="AK34" s="94">
        <v>1.1000000000000001</v>
      </c>
      <c r="AL34" s="94">
        <v>1.1000000000000001</v>
      </c>
      <c r="AM34" s="94">
        <v>1.1000000000000001</v>
      </c>
      <c r="AN34" s="94">
        <v>1.1000000000000001</v>
      </c>
      <c r="AO34" s="94">
        <v>1.1000000000000001</v>
      </c>
      <c r="AP34" s="94">
        <v>1.1000000000000001</v>
      </c>
      <c r="AQ34" s="95">
        <v>1.1000000000000001</v>
      </c>
      <c r="AT34" s="98">
        <v>-75</v>
      </c>
      <c r="AU34" s="114">
        <v>0.38</v>
      </c>
      <c r="AV34" s="112">
        <v>0.38</v>
      </c>
      <c r="AW34" s="112">
        <v>0.35</v>
      </c>
      <c r="AX34" s="112">
        <v>0.3</v>
      </c>
      <c r="AY34" s="112">
        <v>0.3</v>
      </c>
      <c r="AZ34" s="112">
        <v>0.3</v>
      </c>
      <c r="BA34" s="112">
        <v>0.3</v>
      </c>
      <c r="BB34" s="115">
        <v>0.3</v>
      </c>
      <c r="BC34" s="98">
        <v>-75</v>
      </c>
      <c r="BD34" s="93">
        <v>0.17499999999999999</v>
      </c>
      <c r="BE34" s="94">
        <v>0.125</v>
      </c>
      <c r="BF34" s="94">
        <v>0.5</v>
      </c>
      <c r="BG34" s="94">
        <v>0.45</v>
      </c>
      <c r="BH34" s="94">
        <v>0.45</v>
      </c>
      <c r="BI34" s="94">
        <v>0.45</v>
      </c>
      <c r="BJ34" s="94">
        <v>0.45</v>
      </c>
      <c r="BK34" s="95">
        <v>0.45</v>
      </c>
      <c r="BL34" s="123">
        <v>-75</v>
      </c>
      <c r="BM34" s="93">
        <v>0</v>
      </c>
      <c r="BN34" s="94">
        <v>0</v>
      </c>
      <c r="BO34" s="94">
        <v>0</v>
      </c>
      <c r="BP34" s="94">
        <v>0</v>
      </c>
      <c r="BQ34" s="94">
        <v>0</v>
      </c>
      <c r="BR34" s="94">
        <v>0</v>
      </c>
      <c r="BS34" s="94">
        <v>0</v>
      </c>
      <c r="BT34" s="95">
        <v>0</v>
      </c>
      <c r="BU34" s="124">
        <v>-75</v>
      </c>
      <c r="BV34" s="120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2">
        <v>0</v>
      </c>
    </row>
    <row r="35" spans="1:81" ht="14.25">
      <c r="A35" s="396"/>
      <c r="B35" s="396"/>
      <c r="C35" s="396">
        <v>24</v>
      </c>
      <c r="D35" s="396">
        <v>28.6</v>
      </c>
      <c r="E35" s="396"/>
      <c r="F35" s="406"/>
      <c r="G35" s="406"/>
      <c r="H35" s="406"/>
      <c r="I35" s="406"/>
      <c r="J35" s="396"/>
      <c r="K35" s="396"/>
      <c r="L35" s="396">
        <v>24</v>
      </c>
      <c r="M35" s="396">
        <v>28.6</v>
      </c>
      <c r="N35" s="396"/>
      <c r="O35" s="406"/>
      <c r="P35" s="406"/>
      <c r="R35" s="394">
        <f t="shared" si="0"/>
        <v>12.833333333334188</v>
      </c>
      <c r="AA35" s="89" t="s">
        <v>173</v>
      </c>
      <c r="AB35" s="89">
        <v>2</v>
      </c>
      <c r="AC35" s="89"/>
      <c r="AD35" s="89"/>
      <c r="AE35" s="89"/>
      <c r="AF35" s="89"/>
      <c r="AG35" s="89"/>
      <c r="AH35" s="89"/>
      <c r="AI35" s="98">
        <v>-56</v>
      </c>
      <c r="AJ35" s="93">
        <v>1.1000000000000001</v>
      </c>
      <c r="AK35" s="94">
        <v>1.1000000000000001</v>
      </c>
      <c r="AL35" s="94">
        <v>1.1000000000000001</v>
      </c>
      <c r="AM35" s="94">
        <v>1.1000000000000001</v>
      </c>
      <c r="AN35" s="94">
        <v>1.1000000000000001</v>
      </c>
      <c r="AO35" s="94">
        <v>1.1000000000000001</v>
      </c>
      <c r="AP35" s="94">
        <v>1.1000000000000001</v>
      </c>
      <c r="AQ35" s="95">
        <v>1.1000000000000001</v>
      </c>
      <c r="AT35" s="98">
        <v>-74</v>
      </c>
      <c r="AU35" s="114">
        <v>0.38</v>
      </c>
      <c r="AV35" s="112">
        <v>0.38</v>
      </c>
      <c r="AW35" s="112">
        <v>0.35</v>
      </c>
      <c r="AX35" s="112">
        <v>0.3</v>
      </c>
      <c r="AY35" s="112">
        <v>0.3</v>
      </c>
      <c r="AZ35" s="112">
        <v>0.3</v>
      </c>
      <c r="BA35" s="112">
        <v>0.3</v>
      </c>
      <c r="BB35" s="115">
        <v>0.3</v>
      </c>
      <c r="BC35" s="98">
        <v>-74</v>
      </c>
      <c r="BD35" s="93">
        <v>0.182</v>
      </c>
      <c r="BE35" s="94">
        <v>0.13200000000000001</v>
      </c>
      <c r="BF35" s="94">
        <v>0.5</v>
      </c>
      <c r="BG35" s="94">
        <v>0.45</v>
      </c>
      <c r="BH35" s="94">
        <v>0.45</v>
      </c>
      <c r="BI35" s="94">
        <v>0.45</v>
      </c>
      <c r="BJ35" s="94">
        <v>0.45</v>
      </c>
      <c r="BK35" s="95">
        <v>0.45</v>
      </c>
      <c r="BL35" s="123">
        <v>-74</v>
      </c>
      <c r="BM35" s="93">
        <v>0</v>
      </c>
      <c r="BN35" s="94">
        <v>0</v>
      </c>
      <c r="BO35" s="94">
        <v>0</v>
      </c>
      <c r="BP35" s="94">
        <v>0</v>
      </c>
      <c r="BQ35" s="94">
        <v>0</v>
      </c>
      <c r="BR35" s="94">
        <v>0</v>
      </c>
      <c r="BS35" s="94">
        <v>0</v>
      </c>
      <c r="BT35" s="95">
        <v>0</v>
      </c>
      <c r="BU35" s="124">
        <v>-74</v>
      </c>
      <c r="BV35" s="120">
        <v>0</v>
      </c>
      <c r="BW35" s="121">
        <v>0</v>
      </c>
      <c r="BX35" s="121">
        <v>0</v>
      </c>
      <c r="BY35" s="121">
        <v>0</v>
      </c>
      <c r="BZ35" s="121">
        <v>0</v>
      </c>
      <c r="CA35" s="121">
        <v>0</v>
      </c>
      <c r="CB35" s="121">
        <v>0</v>
      </c>
      <c r="CC35" s="122">
        <v>0</v>
      </c>
    </row>
    <row r="36" spans="1:81" ht="14.25">
      <c r="A36" s="396"/>
      <c r="B36" s="396"/>
      <c r="C36" s="396">
        <v>25</v>
      </c>
      <c r="D36" s="396">
        <v>29.7</v>
      </c>
      <c r="E36" s="396"/>
      <c r="F36" s="406"/>
      <c r="G36" s="406"/>
      <c r="H36" s="406"/>
      <c r="I36" s="406"/>
      <c r="J36" s="396"/>
      <c r="K36" s="396"/>
      <c r="L36" s="396">
        <v>25</v>
      </c>
      <c r="M36" s="396">
        <v>29.7</v>
      </c>
      <c r="N36" s="396"/>
      <c r="O36" s="406"/>
      <c r="P36" s="406"/>
      <c r="R36" s="394">
        <f t="shared" si="0"/>
        <v>13.222222222223078</v>
      </c>
      <c r="AA36" s="89">
        <f>ROUND((AA29*AA31*(AA3-AA30)),2)</f>
        <v>0.12</v>
      </c>
      <c r="AB36" s="89">
        <f>ROUND((AB29*AB31*(AB3-AB30)),2)</f>
        <v>0.14000000000000001</v>
      </c>
      <c r="AC36" s="89">
        <f t="shared" ref="AC36:AH36" si="23">ROUND((AC29*AC31*(AC3-AC30)),2)</f>
        <v>0.15</v>
      </c>
      <c r="AD36" s="89">
        <f t="shared" si="23"/>
        <v>0.16</v>
      </c>
      <c r="AE36" s="89" t="e">
        <f t="shared" si="23"/>
        <v>#N/A</v>
      </c>
      <c r="AF36" s="89" t="e">
        <f t="shared" si="23"/>
        <v>#N/A</v>
      </c>
      <c r="AG36" s="89" t="e">
        <f t="shared" si="23"/>
        <v>#N/A</v>
      </c>
      <c r="AH36" s="89" t="e">
        <f t="shared" si="23"/>
        <v>#N/A</v>
      </c>
      <c r="AI36" s="98">
        <v>-55</v>
      </c>
      <c r="AJ36" s="93">
        <v>1.1000000000000001</v>
      </c>
      <c r="AK36" s="94">
        <v>1.1000000000000001</v>
      </c>
      <c r="AL36" s="94">
        <v>1.1000000000000001</v>
      </c>
      <c r="AM36" s="94">
        <v>1.1000000000000001</v>
      </c>
      <c r="AN36" s="94">
        <v>1.1000000000000001</v>
      </c>
      <c r="AO36" s="94">
        <v>1.1000000000000001</v>
      </c>
      <c r="AP36" s="94">
        <v>1.1000000000000001</v>
      </c>
      <c r="AQ36" s="95">
        <v>1.1000000000000001</v>
      </c>
      <c r="AT36" s="98">
        <v>-73</v>
      </c>
      <c r="AU36" s="114">
        <v>0.38</v>
      </c>
      <c r="AV36" s="112">
        <v>0.38</v>
      </c>
      <c r="AW36" s="112">
        <v>0.35</v>
      </c>
      <c r="AX36" s="112">
        <v>0.3</v>
      </c>
      <c r="AY36" s="112">
        <v>0.3</v>
      </c>
      <c r="AZ36" s="112">
        <v>0.3</v>
      </c>
      <c r="BA36" s="112">
        <v>0.3</v>
      </c>
      <c r="BB36" s="115">
        <v>0.3</v>
      </c>
      <c r="BC36" s="98">
        <v>-73</v>
      </c>
      <c r="BD36" s="93">
        <v>0.189</v>
      </c>
      <c r="BE36" s="94">
        <v>0.13900000000000001</v>
      </c>
      <c r="BF36" s="94">
        <v>0.5</v>
      </c>
      <c r="BG36" s="94">
        <v>0.45</v>
      </c>
      <c r="BH36" s="94">
        <v>0.45</v>
      </c>
      <c r="BI36" s="94">
        <v>0.45</v>
      </c>
      <c r="BJ36" s="94">
        <v>0.45</v>
      </c>
      <c r="BK36" s="95">
        <v>0.45</v>
      </c>
      <c r="BL36" s="123">
        <v>-73</v>
      </c>
      <c r="BM36" s="93">
        <v>0</v>
      </c>
      <c r="BN36" s="94">
        <v>0</v>
      </c>
      <c r="BO36" s="94">
        <v>0</v>
      </c>
      <c r="BP36" s="94">
        <v>0</v>
      </c>
      <c r="BQ36" s="94">
        <v>0</v>
      </c>
      <c r="BR36" s="94">
        <v>0</v>
      </c>
      <c r="BS36" s="94">
        <v>0</v>
      </c>
      <c r="BT36" s="95">
        <v>0</v>
      </c>
      <c r="BU36" s="124">
        <v>-73</v>
      </c>
      <c r="BV36" s="120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2">
        <v>0</v>
      </c>
    </row>
    <row r="37" spans="1:81" ht="15" thickBot="1">
      <c r="A37" s="396"/>
      <c r="B37" s="396"/>
      <c r="C37" s="396">
        <v>26</v>
      </c>
      <c r="D37" s="396">
        <v>30.7</v>
      </c>
      <c r="E37" s="396"/>
      <c r="F37" s="406"/>
      <c r="G37" s="406"/>
      <c r="H37" s="406"/>
      <c r="I37" s="406"/>
      <c r="J37" s="396"/>
      <c r="K37" s="396"/>
      <c r="L37" s="396">
        <v>26</v>
      </c>
      <c r="M37" s="396">
        <v>30.7</v>
      </c>
      <c r="N37" s="396"/>
      <c r="O37" s="406"/>
      <c r="P37" s="406"/>
      <c r="R37" s="394">
        <f t="shared" si="0"/>
        <v>13.611111111111967</v>
      </c>
      <c r="AI37" s="98">
        <v>-54</v>
      </c>
      <c r="AJ37" s="93">
        <v>1.1000000000000001</v>
      </c>
      <c r="AK37" s="94">
        <v>1.1000000000000001</v>
      </c>
      <c r="AL37" s="94">
        <v>1.1000000000000001</v>
      </c>
      <c r="AM37" s="94">
        <v>1.1000000000000001</v>
      </c>
      <c r="AN37" s="94">
        <v>1.1000000000000001</v>
      </c>
      <c r="AO37" s="94">
        <v>1.1000000000000001</v>
      </c>
      <c r="AP37" s="94">
        <v>1.1000000000000001</v>
      </c>
      <c r="AQ37" s="95">
        <v>1.1000000000000001</v>
      </c>
      <c r="AT37" s="98">
        <v>-72</v>
      </c>
      <c r="AU37" s="114">
        <v>0.38</v>
      </c>
      <c r="AV37" s="112">
        <v>0.38</v>
      </c>
      <c r="AW37" s="112">
        <v>0.35</v>
      </c>
      <c r="AX37" s="112">
        <v>0.3</v>
      </c>
      <c r="AY37" s="112">
        <v>0.3</v>
      </c>
      <c r="AZ37" s="112">
        <v>0.3</v>
      </c>
      <c r="BA37" s="112">
        <v>0.3</v>
      </c>
      <c r="BB37" s="115">
        <v>0.3</v>
      </c>
      <c r="BC37" s="98">
        <v>-72</v>
      </c>
      <c r="BD37" s="93">
        <v>0.19600000000000001</v>
      </c>
      <c r="BE37" s="94">
        <v>0.14599999999999999</v>
      </c>
      <c r="BF37" s="94">
        <v>0.5</v>
      </c>
      <c r="BG37" s="94">
        <v>0.45</v>
      </c>
      <c r="BH37" s="94">
        <v>0.45</v>
      </c>
      <c r="BI37" s="94">
        <v>0.45</v>
      </c>
      <c r="BJ37" s="94">
        <v>0.45</v>
      </c>
      <c r="BK37" s="95">
        <v>0.45</v>
      </c>
      <c r="BL37" s="123">
        <v>-72</v>
      </c>
      <c r="BM37" s="93">
        <v>0</v>
      </c>
      <c r="BN37" s="94">
        <v>0</v>
      </c>
      <c r="BO37" s="94">
        <v>0</v>
      </c>
      <c r="BP37" s="94">
        <v>0</v>
      </c>
      <c r="BQ37" s="94">
        <v>0</v>
      </c>
      <c r="BR37" s="94">
        <v>0</v>
      </c>
      <c r="BS37" s="94">
        <v>0</v>
      </c>
      <c r="BT37" s="95">
        <v>0</v>
      </c>
      <c r="BU37" s="124">
        <v>-72</v>
      </c>
      <c r="BV37" s="120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2">
        <v>0</v>
      </c>
    </row>
    <row r="38" spans="1:81" ht="15" thickBot="1">
      <c r="A38" s="396"/>
      <c r="B38" s="396"/>
      <c r="C38" s="396">
        <v>27</v>
      </c>
      <c r="D38" s="396">
        <v>31.8</v>
      </c>
      <c r="E38" s="396"/>
      <c r="F38" s="406"/>
      <c r="G38" s="406"/>
      <c r="H38" s="406"/>
      <c r="I38" s="406"/>
      <c r="J38" s="396"/>
      <c r="K38" s="396"/>
      <c r="L38" s="396">
        <v>27</v>
      </c>
      <c r="M38" s="396">
        <v>31.8</v>
      </c>
      <c r="N38" s="396"/>
      <c r="O38" s="406"/>
      <c r="P38" s="406"/>
      <c r="R38" s="394">
        <f t="shared" si="0"/>
        <v>14.000000000000856</v>
      </c>
      <c r="Z38" s="411" t="s">
        <v>174</v>
      </c>
      <c r="AA38" s="109">
        <f t="shared" ref="AA38:AH38" si="24">((AA36/ABS($X$5))/4)*$X$8</f>
        <v>0</v>
      </c>
      <c r="AB38" s="109">
        <f t="shared" si="24"/>
        <v>0</v>
      </c>
      <c r="AC38" s="109">
        <f t="shared" si="24"/>
        <v>0</v>
      </c>
      <c r="AD38" s="109">
        <f t="shared" si="24"/>
        <v>0</v>
      </c>
      <c r="AE38" s="109" t="e">
        <f t="shared" si="24"/>
        <v>#N/A</v>
      </c>
      <c r="AF38" s="109" t="e">
        <f t="shared" si="24"/>
        <v>#N/A</v>
      </c>
      <c r="AG38" s="109" t="e">
        <f t="shared" si="24"/>
        <v>#N/A</v>
      </c>
      <c r="AH38" s="110" t="e">
        <f t="shared" si="24"/>
        <v>#N/A</v>
      </c>
      <c r="AI38" s="104">
        <v>-53</v>
      </c>
      <c r="AJ38" s="93">
        <v>1.1000000000000001</v>
      </c>
      <c r="AK38" s="94">
        <v>1.1000000000000001</v>
      </c>
      <c r="AL38" s="94">
        <v>1.1000000000000001</v>
      </c>
      <c r="AM38" s="94">
        <v>1.1000000000000001</v>
      </c>
      <c r="AN38" s="94">
        <v>1.1000000000000001</v>
      </c>
      <c r="AO38" s="94">
        <v>1.1000000000000001</v>
      </c>
      <c r="AP38" s="94">
        <v>1.1000000000000001</v>
      </c>
      <c r="AQ38" s="95">
        <v>1.1000000000000001</v>
      </c>
      <c r="AT38" s="98">
        <v>-71</v>
      </c>
      <c r="AU38" s="114">
        <v>0.38</v>
      </c>
      <c r="AV38" s="112">
        <v>0.38</v>
      </c>
      <c r="AW38" s="112">
        <v>0.35</v>
      </c>
      <c r="AX38" s="112">
        <v>0.3</v>
      </c>
      <c r="AY38" s="112">
        <v>0.3</v>
      </c>
      <c r="AZ38" s="112">
        <v>0.3</v>
      </c>
      <c r="BA38" s="112">
        <v>0.3</v>
      </c>
      <c r="BB38" s="115">
        <v>0.3</v>
      </c>
      <c r="BC38" s="98">
        <v>-71</v>
      </c>
      <c r="BD38" s="93">
        <v>0.20300000000000001</v>
      </c>
      <c r="BE38" s="94">
        <v>0.153</v>
      </c>
      <c r="BF38" s="94">
        <v>0.5</v>
      </c>
      <c r="BG38" s="94">
        <v>0.45</v>
      </c>
      <c r="BH38" s="94">
        <v>0.45</v>
      </c>
      <c r="BI38" s="94">
        <v>0.45</v>
      </c>
      <c r="BJ38" s="94">
        <v>0.45</v>
      </c>
      <c r="BK38" s="95">
        <v>0.45</v>
      </c>
      <c r="BL38" s="123">
        <v>-71</v>
      </c>
      <c r="BM38" s="93">
        <v>0</v>
      </c>
      <c r="BN38" s="94">
        <v>0</v>
      </c>
      <c r="BO38" s="94">
        <v>0</v>
      </c>
      <c r="BP38" s="94">
        <v>0</v>
      </c>
      <c r="BQ38" s="94">
        <v>0</v>
      </c>
      <c r="BR38" s="94">
        <v>0</v>
      </c>
      <c r="BS38" s="94">
        <v>0</v>
      </c>
      <c r="BT38" s="95">
        <v>0</v>
      </c>
      <c r="BU38" s="124">
        <v>-71</v>
      </c>
      <c r="BV38" s="120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2">
        <v>0</v>
      </c>
    </row>
    <row r="39" spans="1:81" ht="14.25">
      <c r="A39" s="396"/>
      <c r="B39" s="396"/>
      <c r="C39" s="396">
        <v>28</v>
      </c>
      <c r="D39" s="396">
        <v>32.9</v>
      </c>
      <c r="E39" s="396"/>
      <c r="F39" s="406"/>
      <c r="G39" s="406"/>
      <c r="H39" s="406"/>
      <c r="I39" s="406"/>
      <c r="J39" s="396"/>
      <c r="K39" s="396"/>
      <c r="L39" s="396">
        <v>28</v>
      </c>
      <c r="M39" s="396">
        <v>32.9</v>
      </c>
      <c r="N39" s="396"/>
      <c r="O39" s="406"/>
      <c r="P39" s="406"/>
      <c r="R39" s="394">
        <f t="shared" si="0"/>
        <v>14.388888888889745</v>
      </c>
      <c r="AI39" s="98">
        <v>-52</v>
      </c>
      <c r="AJ39" s="93">
        <v>1.1000000000000001</v>
      </c>
      <c r="AK39" s="94">
        <v>1.1000000000000001</v>
      </c>
      <c r="AL39" s="94">
        <v>1.1000000000000001</v>
      </c>
      <c r="AM39" s="94">
        <v>1.1000000000000001</v>
      </c>
      <c r="AN39" s="94">
        <v>1.1000000000000001</v>
      </c>
      <c r="AO39" s="94">
        <v>1.1000000000000001</v>
      </c>
      <c r="AP39" s="94">
        <v>1.1000000000000001</v>
      </c>
      <c r="AQ39" s="95">
        <v>1.1000000000000001</v>
      </c>
      <c r="AT39" s="98">
        <v>-70</v>
      </c>
      <c r="AU39" s="114">
        <v>0.38</v>
      </c>
      <c r="AV39" s="112">
        <v>0.38</v>
      </c>
      <c r="AW39" s="112">
        <v>0.35</v>
      </c>
      <c r="AX39" s="112">
        <v>0.3</v>
      </c>
      <c r="AY39" s="112">
        <v>0.3</v>
      </c>
      <c r="AZ39" s="112">
        <v>0.3</v>
      </c>
      <c r="BA39" s="112">
        <v>0.3</v>
      </c>
      <c r="BB39" s="115">
        <v>0.3</v>
      </c>
      <c r="BC39" s="98">
        <v>-70</v>
      </c>
      <c r="BD39" s="93">
        <v>0.21</v>
      </c>
      <c r="BE39" s="94">
        <v>0.16</v>
      </c>
      <c r="BF39" s="94">
        <v>0.5</v>
      </c>
      <c r="BG39" s="94">
        <v>0.45</v>
      </c>
      <c r="BH39" s="94">
        <v>0.45</v>
      </c>
      <c r="BI39" s="94">
        <v>0.45</v>
      </c>
      <c r="BJ39" s="94">
        <v>0.45</v>
      </c>
      <c r="BK39" s="95">
        <v>0.45</v>
      </c>
      <c r="BL39" s="123">
        <v>-70</v>
      </c>
      <c r="BM39" s="93">
        <v>0</v>
      </c>
      <c r="BN39" s="94">
        <v>0</v>
      </c>
      <c r="BO39" s="94">
        <v>0</v>
      </c>
      <c r="BP39" s="94">
        <v>0</v>
      </c>
      <c r="BQ39" s="94">
        <v>0</v>
      </c>
      <c r="BR39" s="94">
        <v>0</v>
      </c>
      <c r="BS39" s="94">
        <v>0</v>
      </c>
      <c r="BT39" s="95">
        <v>0</v>
      </c>
      <c r="BU39" s="124">
        <v>-70</v>
      </c>
      <c r="BV39" s="120">
        <v>0</v>
      </c>
      <c r="BW39" s="121">
        <v>0</v>
      </c>
      <c r="BX39" s="121">
        <v>0</v>
      </c>
      <c r="BY39" s="121">
        <v>0</v>
      </c>
      <c r="BZ39" s="121">
        <v>0</v>
      </c>
      <c r="CA39" s="121">
        <v>0</v>
      </c>
      <c r="CB39" s="121">
        <v>0</v>
      </c>
      <c r="CC39" s="122">
        <v>0</v>
      </c>
    </row>
    <row r="40" spans="1:81" ht="14.25">
      <c r="A40" s="396"/>
      <c r="B40" s="396"/>
      <c r="C40" s="396">
        <v>29</v>
      </c>
      <c r="D40" s="396">
        <v>34</v>
      </c>
      <c r="E40" s="396"/>
      <c r="F40" s="406"/>
      <c r="G40" s="406"/>
      <c r="H40" s="406"/>
      <c r="I40" s="406"/>
      <c r="J40" s="396"/>
      <c r="K40" s="396"/>
      <c r="L40" s="396">
        <v>29</v>
      </c>
      <c r="M40" s="396">
        <v>34</v>
      </c>
      <c r="N40" s="396"/>
      <c r="O40" s="406"/>
      <c r="P40" s="406"/>
      <c r="R40" s="394">
        <f t="shared" si="0"/>
        <v>14.777777777778635</v>
      </c>
      <c r="AI40" s="98">
        <v>-51</v>
      </c>
      <c r="AJ40" s="93">
        <v>1.1000000000000001</v>
      </c>
      <c r="AK40" s="94">
        <v>1.1000000000000001</v>
      </c>
      <c r="AL40" s="94">
        <v>1.1000000000000001</v>
      </c>
      <c r="AM40" s="94">
        <v>1.1000000000000001</v>
      </c>
      <c r="AN40" s="94">
        <v>1.1000000000000001</v>
      </c>
      <c r="AO40" s="94">
        <v>1.1000000000000001</v>
      </c>
      <c r="AP40" s="94">
        <v>1.1000000000000001</v>
      </c>
      <c r="AQ40" s="95">
        <v>1.1000000000000001</v>
      </c>
      <c r="AT40" s="98">
        <v>-69</v>
      </c>
      <c r="AU40" s="114">
        <v>0.38</v>
      </c>
      <c r="AV40" s="112">
        <v>0.38</v>
      </c>
      <c r="AW40" s="112">
        <v>0.35</v>
      </c>
      <c r="AX40" s="112">
        <v>0.3</v>
      </c>
      <c r="AY40" s="112">
        <v>0.3</v>
      </c>
      <c r="AZ40" s="112">
        <v>0.3</v>
      </c>
      <c r="BA40" s="112">
        <v>0.3</v>
      </c>
      <c r="BB40" s="115">
        <v>0.3</v>
      </c>
      <c r="BC40" s="98">
        <v>-69</v>
      </c>
      <c r="BD40" s="93">
        <v>0.217</v>
      </c>
      <c r="BE40" s="94">
        <v>0.16700000000000001</v>
      </c>
      <c r="BF40" s="94">
        <v>0.5</v>
      </c>
      <c r="BG40" s="94">
        <v>0.45</v>
      </c>
      <c r="BH40" s="94">
        <v>0.45</v>
      </c>
      <c r="BI40" s="94">
        <v>0.45</v>
      </c>
      <c r="BJ40" s="94">
        <v>0.45</v>
      </c>
      <c r="BK40" s="95">
        <v>0.45</v>
      </c>
      <c r="BL40" s="123">
        <v>-69</v>
      </c>
      <c r="BM40" s="93">
        <v>0</v>
      </c>
      <c r="BN40" s="94">
        <v>0</v>
      </c>
      <c r="BO40" s="94">
        <v>0</v>
      </c>
      <c r="BP40" s="94">
        <v>0</v>
      </c>
      <c r="BQ40" s="94">
        <v>0</v>
      </c>
      <c r="BR40" s="94">
        <v>0</v>
      </c>
      <c r="BS40" s="94">
        <v>0</v>
      </c>
      <c r="BT40" s="95">
        <v>0</v>
      </c>
      <c r="BU40" s="124">
        <v>-69</v>
      </c>
      <c r="BV40" s="120">
        <v>0</v>
      </c>
      <c r="BW40" s="121">
        <v>0</v>
      </c>
      <c r="BX40" s="121">
        <v>0</v>
      </c>
      <c r="BY40" s="121">
        <v>0</v>
      </c>
      <c r="BZ40" s="121">
        <v>0</v>
      </c>
      <c r="CA40" s="121">
        <v>0</v>
      </c>
      <c r="CB40" s="121">
        <v>0</v>
      </c>
      <c r="CC40" s="122">
        <v>0</v>
      </c>
    </row>
    <row r="41" spans="1:81" ht="14.25">
      <c r="A41" s="396"/>
      <c r="B41" s="396"/>
      <c r="C41" s="396">
        <v>30</v>
      </c>
      <c r="D41" s="396">
        <v>35</v>
      </c>
      <c r="E41" s="396"/>
      <c r="F41" s="406"/>
      <c r="G41" s="406"/>
      <c r="H41" s="406"/>
      <c r="I41" s="406"/>
      <c r="J41" s="396"/>
      <c r="K41" s="396"/>
      <c r="L41" s="396">
        <v>30</v>
      </c>
      <c r="M41" s="396">
        <v>35</v>
      </c>
      <c r="N41" s="396"/>
      <c r="O41" s="406"/>
      <c r="P41" s="406"/>
      <c r="R41" s="394">
        <f t="shared" si="0"/>
        <v>15.166666666667524</v>
      </c>
      <c r="AI41" s="98">
        <v>-50</v>
      </c>
      <c r="AJ41" s="93">
        <v>1.1000000000000001</v>
      </c>
      <c r="AK41" s="94">
        <v>1.1000000000000001</v>
      </c>
      <c r="AL41" s="94">
        <v>1.1000000000000001</v>
      </c>
      <c r="AM41" s="94">
        <v>1.1000000000000001</v>
      </c>
      <c r="AN41" s="94">
        <v>1.1000000000000001</v>
      </c>
      <c r="AO41" s="94">
        <v>1.1000000000000001</v>
      </c>
      <c r="AP41" s="94">
        <v>1.1000000000000001</v>
      </c>
      <c r="AQ41" s="95">
        <v>1.1000000000000001</v>
      </c>
      <c r="AT41" s="98">
        <v>-68</v>
      </c>
      <c r="AU41" s="114">
        <v>0.38</v>
      </c>
      <c r="AV41" s="112">
        <v>0.38</v>
      </c>
      <c r="AW41" s="112">
        <v>0.35</v>
      </c>
      <c r="AX41" s="112">
        <v>0.3</v>
      </c>
      <c r="AY41" s="112">
        <v>0.3</v>
      </c>
      <c r="AZ41" s="112">
        <v>0.3</v>
      </c>
      <c r="BA41" s="112">
        <v>0.3</v>
      </c>
      <c r="BB41" s="115">
        <v>0.3</v>
      </c>
      <c r="BC41" s="98">
        <v>-68</v>
      </c>
      <c r="BD41" s="93">
        <v>0.224</v>
      </c>
      <c r="BE41" s="94">
        <v>0.17400000000000002</v>
      </c>
      <c r="BF41" s="94">
        <v>0.5</v>
      </c>
      <c r="BG41" s="94">
        <v>0.45</v>
      </c>
      <c r="BH41" s="94">
        <v>0.45</v>
      </c>
      <c r="BI41" s="94">
        <v>0.45</v>
      </c>
      <c r="BJ41" s="94">
        <v>0.45</v>
      </c>
      <c r="BK41" s="95">
        <v>0.45</v>
      </c>
      <c r="BL41" s="123">
        <v>-68</v>
      </c>
      <c r="BM41" s="93">
        <v>0</v>
      </c>
      <c r="BN41" s="94">
        <v>0</v>
      </c>
      <c r="BO41" s="94">
        <v>0</v>
      </c>
      <c r="BP41" s="94">
        <v>0</v>
      </c>
      <c r="BQ41" s="94">
        <v>0</v>
      </c>
      <c r="BR41" s="94">
        <v>0</v>
      </c>
      <c r="BS41" s="94">
        <v>0</v>
      </c>
      <c r="BT41" s="95">
        <v>0</v>
      </c>
      <c r="BU41" s="124">
        <v>-68</v>
      </c>
      <c r="BV41" s="120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2">
        <v>0</v>
      </c>
    </row>
    <row r="42" spans="1:81" ht="14.25">
      <c r="A42" s="396"/>
      <c r="B42" s="396"/>
      <c r="C42" s="396">
        <v>31</v>
      </c>
      <c r="D42" s="396">
        <v>36</v>
      </c>
      <c r="E42" s="396"/>
      <c r="F42" s="406"/>
      <c r="G42" s="406"/>
      <c r="H42" s="406"/>
      <c r="I42" s="406"/>
      <c r="J42" s="396"/>
      <c r="K42" s="396"/>
      <c r="L42" s="396">
        <v>31</v>
      </c>
      <c r="M42" s="396">
        <v>36</v>
      </c>
      <c r="N42" s="396"/>
      <c r="O42" s="406"/>
      <c r="P42" s="406"/>
      <c r="R42" s="394">
        <f t="shared" si="0"/>
        <v>15.555555555556413</v>
      </c>
      <c r="AI42" s="98">
        <v>-49</v>
      </c>
      <c r="AJ42" s="93">
        <v>1.1000000000000001</v>
      </c>
      <c r="AK42" s="94">
        <v>1.1000000000000001</v>
      </c>
      <c r="AL42" s="94">
        <v>1.1000000000000001</v>
      </c>
      <c r="AM42" s="94">
        <v>1.1000000000000001</v>
      </c>
      <c r="AN42" s="94">
        <v>1.1000000000000001</v>
      </c>
      <c r="AO42" s="94">
        <v>1.1000000000000001</v>
      </c>
      <c r="AP42" s="94">
        <v>1.1000000000000001</v>
      </c>
      <c r="AQ42" s="95">
        <v>1.1000000000000001</v>
      </c>
      <c r="AT42" s="98">
        <v>-67</v>
      </c>
      <c r="AU42" s="114">
        <v>0.38</v>
      </c>
      <c r="AV42" s="112">
        <v>0.38</v>
      </c>
      <c r="AW42" s="112">
        <v>0.35</v>
      </c>
      <c r="AX42" s="112">
        <v>0.3</v>
      </c>
      <c r="AY42" s="112">
        <v>0.3</v>
      </c>
      <c r="AZ42" s="112">
        <v>0.3</v>
      </c>
      <c r="BA42" s="112">
        <v>0.3</v>
      </c>
      <c r="BB42" s="115">
        <v>0.3</v>
      </c>
      <c r="BC42" s="98">
        <v>-67</v>
      </c>
      <c r="BD42" s="93">
        <v>0.23100000000000001</v>
      </c>
      <c r="BE42" s="94">
        <v>0.18099999999999999</v>
      </c>
      <c r="BF42" s="94">
        <v>0.5</v>
      </c>
      <c r="BG42" s="94">
        <v>0.45</v>
      </c>
      <c r="BH42" s="94">
        <v>0.45</v>
      </c>
      <c r="BI42" s="94">
        <v>0.45</v>
      </c>
      <c r="BJ42" s="94">
        <v>0.45</v>
      </c>
      <c r="BK42" s="95">
        <v>0.45</v>
      </c>
      <c r="BL42" s="123">
        <v>-67</v>
      </c>
      <c r="BM42" s="93">
        <v>0</v>
      </c>
      <c r="BN42" s="94">
        <v>0</v>
      </c>
      <c r="BO42" s="94">
        <v>0</v>
      </c>
      <c r="BP42" s="94">
        <v>0</v>
      </c>
      <c r="BQ42" s="94">
        <v>0</v>
      </c>
      <c r="BR42" s="94">
        <v>0</v>
      </c>
      <c r="BS42" s="94">
        <v>0</v>
      </c>
      <c r="BT42" s="95">
        <v>0</v>
      </c>
      <c r="BU42" s="124">
        <v>-67</v>
      </c>
      <c r="BV42" s="120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2">
        <v>0</v>
      </c>
    </row>
    <row r="43" spans="1:81" ht="14.25">
      <c r="A43" s="396"/>
      <c r="B43" s="396"/>
      <c r="C43" s="396">
        <v>32</v>
      </c>
      <c r="D43" s="396">
        <v>37</v>
      </c>
      <c r="E43" s="396"/>
      <c r="F43" s="406"/>
      <c r="G43" s="406"/>
      <c r="H43" s="406"/>
      <c r="I43" s="406"/>
      <c r="J43" s="396"/>
      <c r="K43" s="396"/>
      <c r="L43" s="396">
        <v>32</v>
      </c>
      <c r="M43" s="396">
        <v>37</v>
      </c>
      <c r="N43" s="396"/>
      <c r="O43" s="406"/>
      <c r="P43" s="406"/>
      <c r="R43" s="394">
        <f t="shared" si="0"/>
        <v>15.944444444445303</v>
      </c>
      <c r="AI43" s="98">
        <v>-48</v>
      </c>
      <c r="AJ43" s="93">
        <v>1.1000000000000001</v>
      </c>
      <c r="AK43" s="94">
        <v>1.1000000000000001</v>
      </c>
      <c r="AL43" s="94">
        <v>1.1000000000000001</v>
      </c>
      <c r="AM43" s="94">
        <v>1.1000000000000001</v>
      </c>
      <c r="AN43" s="94">
        <v>1.1000000000000001</v>
      </c>
      <c r="AO43" s="94">
        <v>1.1000000000000001</v>
      </c>
      <c r="AP43" s="94">
        <v>1.1000000000000001</v>
      </c>
      <c r="AQ43" s="95">
        <v>1.1000000000000001</v>
      </c>
      <c r="AT43" s="98">
        <v>-66</v>
      </c>
      <c r="AU43" s="114">
        <v>0.38</v>
      </c>
      <c r="AV43" s="112">
        <v>0.38</v>
      </c>
      <c r="AW43" s="112">
        <v>0.35</v>
      </c>
      <c r="AX43" s="112">
        <v>0.3</v>
      </c>
      <c r="AY43" s="112">
        <v>0.3</v>
      </c>
      <c r="AZ43" s="112">
        <v>0.3</v>
      </c>
      <c r="BA43" s="112">
        <v>0.3</v>
      </c>
      <c r="BB43" s="115">
        <v>0.3</v>
      </c>
      <c r="BC43" s="98">
        <v>-66</v>
      </c>
      <c r="BD43" s="93">
        <v>0.23800000000000002</v>
      </c>
      <c r="BE43" s="94">
        <v>0.188</v>
      </c>
      <c r="BF43" s="94">
        <v>0.5</v>
      </c>
      <c r="BG43" s="94">
        <v>0.45</v>
      </c>
      <c r="BH43" s="94">
        <v>0.45</v>
      </c>
      <c r="BI43" s="94">
        <v>0.45</v>
      </c>
      <c r="BJ43" s="94">
        <v>0.45</v>
      </c>
      <c r="BK43" s="95">
        <v>0.45</v>
      </c>
      <c r="BL43" s="123">
        <v>-66</v>
      </c>
      <c r="BM43" s="93">
        <v>0</v>
      </c>
      <c r="BN43" s="94">
        <v>0</v>
      </c>
      <c r="BO43" s="94">
        <v>0</v>
      </c>
      <c r="BP43" s="94">
        <v>0</v>
      </c>
      <c r="BQ43" s="94">
        <v>0</v>
      </c>
      <c r="BR43" s="94">
        <v>0</v>
      </c>
      <c r="BS43" s="94">
        <v>0</v>
      </c>
      <c r="BT43" s="95">
        <v>0</v>
      </c>
      <c r="BU43" s="124">
        <v>-66</v>
      </c>
      <c r="BV43" s="120">
        <v>0</v>
      </c>
      <c r="BW43" s="121">
        <v>0</v>
      </c>
      <c r="BX43" s="121">
        <v>0</v>
      </c>
      <c r="BY43" s="121">
        <v>0</v>
      </c>
      <c r="BZ43" s="121">
        <v>0</v>
      </c>
      <c r="CA43" s="121">
        <v>0</v>
      </c>
      <c r="CB43" s="121">
        <v>0</v>
      </c>
      <c r="CC43" s="122">
        <v>0</v>
      </c>
    </row>
    <row r="44" spans="1:81" ht="14.25">
      <c r="A44" s="396"/>
      <c r="B44" s="396"/>
      <c r="C44" s="396">
        <v>33</v>
      </c>
      <c r="D44" s="396">
        <v>38</v>
      </c>
      <c r="E44" s="396"/>
      <c r="F44" s="406"/>
      <c r="G44" s="406"/>
      <c r="H44" s="406"/>
      <c r="I44" s="406"/>
      <c r="J44" s="396"/>
      <c r="K44" s="396"/>
      <c r="L44" s="396">
        <v>33</v>
      </c>
      <c r="M44" s="396">
        <v>38</v>
      </c>
      <c r="N44" s="396"/>
      <c r="O44" s="406"/>
      <c r="P44" s="406"/>
      <c r="R44" s="394">
        <f t="shared" si="0"/>
        <v>16.333333333334192</v>
      </c>
      <c r="AI44" s="98">
        <v>-47</v>
      </c>
      <c r="AJ44" s="93">
        <v>1.1000000000000001</v>
      </c>
      <c r="AK44" s="94">
        <v>1.1000000000000001</v>
      </c>
      <c r="AL44" s="94">
        <v>1.1000000000000001</v>
      </c>
      <c r="AM44" s="94">
        <v>1.1000000000000001</v>
      </c>
      <c r="AN44" s="94">
        <v>1.1000000000000001</v>
      </c>
      <c r="AO44" s="94">
        <v>1.1000000000000001</v>
      </c>
      <c r="AP44" s="94">
        <v>1.1000000000000001</v>
      </c>
      <c r="AQ44" s="95">
        <v>1.1000000000000001</v>
      </c>
      <c r="AT44" s="98">
        <v>-65</v>
      </c>
      <c r="AU44" s="114">
        <v>0.38</v>
      </c>
      <c r="AV44" s="112">
        <v>0.38</v>
      </c>
      <c r="AW44" s="112">
        <v>0.35</v>
      </c>
      <c r="AX44" s="112">
        <v>0.3</v>
      </c>
      <c r="AY44" s="112">
        <v>0.3</v>
      </c>
      <c r="AZ44" s="112">
        <v>0.3</v>
      </c>
      <c r="BA44" s="112">
        <v>0.3</v>
      </c>
      <c r="BB44" s="115">
        <v>0.3</v>
      </c>
      <c r="BC44" s="98">
        <v>-65</v>
      </c>
      <c r="BD44" s="93">
        <v>0.245</v>
      </c>
      <c r="BE44" s="94">
        <v>0.19500000000000001</v>
      </c>
      <c r="BF44" s="94">
        <v>0.5</v>
      </c>
      <c r="BG44" s="94">
        <v>0.45</v>
      </c>
      <c r="BH44" s="94">
        <v>0.45</v>
      </c>
      <c r="BI44" s="94">
        <v>0.45</v>
      </c>
      <c r="BJ44" s="94">
        <v>0.45</v>
      </c>
      <c r="BK44" s="95">
        <v>0.45</v>
      </c>
      <c r="BL44" s="123">
        <v>-65</v>
      </c>
      <c r="BM44" s="93">
        <v>0</v>
      </c>
      <c r="BN44" s="94">
        <v>0</v>
      </c>
      <c r="BO44" s="94">
        <v>0</v>
      </c>
      <c r="BP44" s="94">
        <v>0</v>
      </c>
      <c r="BQ44" s="94">
        <v>0</v>
      </c>
      <c r="BR44" s="94">
        <v>0</v>
      </c>
      <c r="BS44" s="94">
        <v>0</v>
      </c>
      <c r="BT44" s="95">
        <v>0</v>
      </c>
      <c r="BU44" s="124">
        <v>-65</v>
      </c>
      <c r="BV44" s="120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2">
        <v>0</v>
      </c>
    </row>
    <row r="45" spans="1:81" ht="14.25">
      <c r="A45" s="396"/>
      <c r="B45" s="396"/>
      <c r="C45" s="396">
        <v>34</v>
      </c>
      <c r="D45" s="396">
        <v>39</v>
      </c>
      <c r="E45" s="396"/>
      <c r="F45" s="406"/>
      <c r="G45" s="406"/>
      <c r="H45" s="406"/>
      <c r="I45" s="406"/>
      <c r="J45" s="396"/>
      <c r="K45" s="396"/>
      <c r="L45" s="396">
        <v>34</v>
      </c>
      <c r="M45" s="396">
        <v>39</v>
      </c>
      <c r="N45" s="396"/>
      <c r="O45" s="406"/>
      <c r="P45" s="406"/>
      <c r="R45" s="394">
        <f t="shared" si="0"/>
        <v>16.722222222223081</v>
      </c>
      <c r="AI45" s="98">
        <v>-46</v>
      </c>
      <c r="AJ45" s="93">
        <v>1.1000000000000001</v>
      </c>
      <c r="AK45" s="94">
        <v>1.1000000000000001</v>
      </c>
      <c r="AL45" s="94">
        <v>1.1000000000000001</v>
      </c>
      <c r="AM45" s="94">
        <v>1.1000000000000001</v>
      </c>
      <c r="AN45" s="94">
        <v>1.1000000000000001</v>
      </c>
      <c r="AO45" s="94">
        <v>1.1000000000000001</v>
      </c>
      <c r="AP45" s="94">
        <v>1.1000000000000001</v>
      </c>
      <c r="AQ45" s="95">
        <v>1.1000000000000001</v>
      </c>
      <c r="AT45" s="98">
        <v>-64</v>
      </c>
      <c r="AU45" s="114">
        <v>0.38</v>
      </c>
      <c r="AV45" s="112">
        <v>0.38</v>
      </c>
      <c r="AW45" s="112">
        <v>0.35</v>
      </c>
      <c r="AX45" s="112">
        <v>0.3</v>
      </c>
      <c r="AY45" s="112">
        <v>0.3</v>
      </c>
      <c r="AZ45" s="112">
        <v>0.3</v>
      </c>
      <c r="BA45" s="112">
        <v>0.3</v>
      </c>
      <c r="BB45" s="115">
        <v>0.3</v>
      </c>
      <c r="BC45" s="98">
        <v>-64</v>
      </c>
      <c r="BD45" s="93">
        <v>0.252</v>
      </c>
      <c r="BE45" s="94">
        <v>0.20200000000000001</v>
      </c>
      <c r="BF45" s="94">
        <v>0.5</v>
      </c>
      <c r="BG45" s="94">
        <v>0.45</v>
      </c>
      <c r="BH45" s="94">
        <v>0.45</v>
      </c>
      <c r="BI45" s="94">
        <v>0.45</v>
      </c>
      <c r="BJ45" s="94">
        <v>0.45</v>
      </c>
      <c r="BK45" s="95">
        <v>0.45</v>
      </c>
      <c r="BL45" s="123">
        <v>-64</v>
      </c>
      <c r="BM45" s="93">
        <v>0</v>
      </c>
      <c r="BN45" s="94">
        <v>0</v>
      </c>
      <c r="BO45" s="94">
        <v>0</v>
      </c>
      <c r="BP45" s="94">
        <v>0</v>
      </c>
      <c r="BQ45" s="94">
        <v>0</v>
      </c>
      <c r="BR45" s="94">
        <v>0</v>
      </c>
      <c r="BS45" s="94">
        <v>0</v>
      </c>
      <c r="BT45" s="95">
        <v>0</v>
      </c>
      <c r="BU45" s="124">
        <v>-64</v>
      </c>
      <c r="BV45" s="120">
        <v>0</v>
      </c>
      <c r="BW45" s="121">
        <v>0</v>
      </c>
      <c r="BX45" s="121">
        <v>0</v>
      </c>
      <c r="BY45" s="121">
        <v>0</v>
      </c>
      <c r="BZ45" s="121">
        <v>0</v>
      </c>
      <c r="CA45" s="121">
        <v>0</v>
      </c>
      <c r="CB45" s="121">
        <v>0</v>
      </c>
      <c r="CC45" s="122">
        <v>0</v>
      </c>
    </row>
    <row r="46" spans="1:81" ht="14.25">
      <c r="A46" s="396"/>
      <c r="B46" s="396"/>
      <c r="C46" s="396">
        <v>35</v>
      </c>
      <c r="D46" s="396">
        <v>40</v>
      </c>
      <c r="E46" s="396"/>
      <c r="F46" s="406"/>
      <c r="G46" s="406"/>
      <c r="H46" s="406"/>
      <c r="I46" s="406"/>
      <c r="J46" s="396"/>
      <c r="K46" s="396"/>
      <c r="L46" s="396">
        <v>35</v>
      </c>
      <c r="M46" s="396">
        <v>40</v>
      </c>
      <c r="N46" s="396"/>
      <c r="O46" s="406"/>
      <c r="P46" s="406"/>
      <c r="R46" s="394">
        <f t="shared" si="0"/>
        <v>17.11111111111197</v>
      </c>
      <c r="AI46" s="98">
        <v>-45</v>
      </c>
      <c r="AJ46" s="93">
        <v>1.1000000000000001</v>
      </c>
      <c r="AK46" s="94">
        <v>1.1000000000000001</v>
      </c>
      <c r="AL46" s="94">
        <v>1.1000000000000001</v>
      </c>
      <c r="AM46" s="94">
        <v>1.1000000000000001</v>
      </c>
      <c r="AN46" s="94">
        <v>1.1000000000000001</v>
      </c>
      <c r="AO46" s="94">
        <v>1.1000000000000001</v>
      </c>
      <c r="AP46" s="94">
        <v>1.1000000000000001</v>
      </c>
      <c r="AQ46" s="95">
        <v>1.1000000000000001</v>
      </c>
      <c r="AT46" s="98">
        <v>-63</v>
      </c>
      <c r="AU46" s="114">
        <v>0.38</v>
      </c>
      <c r="AV46" s="112">
        <v>0.38</v>
      </c>
      <c r="AW46" s="112">
        <v>0.35</v>
      </c>
      <c r="AX46" s="112">
        <v>0.3</v>
      </c>
      <c r="AY46" s="112">
        <v>0.3</v>
      </c>
      <c r="AZ46" s="112">
        <v>0.3</v>
      </c>
      <c r="BA46" s="112">
        <v>0.3</v>
      </c>
      <c r="BB46" s="115">
        <v>0.3</v>
      </c>
      <c r="BC46" s="98">
        <v>-63</v>
      </c>
      <c r="BD46" s="93">
        <v>0.25900000000000001</v>
      </c>
      <c r="BE46" s="94">
        <v>0.20899999999999999</v>
      </c>
      <c r="BF46" s="94">
        <v>0.5</v>
      </c>
      <c r="BG46" s="94">
        <v>0.45</v>
      </c>
      <c r="BH46" s="94">
        <v>0.45</v>
      </c>
      <c r="BI46" s="94">
        <v>0.45</v>
      </c>
      <c r="BJ46" s="94">
        <v>0.45</v>
      </c>
      <c r="BK46" s="95">
        <v>0.45</v>
      </c>
      <c r="BL46" s="123">
        <v>-63</v>
      </c>
      <c r="BM46" s="93">
        <v>0</v>
      </c>
      <c r="BN46" s="94">
        <v>0</v>
      </c>
      <c r="BO46" s="94">
        <v>0</v>
      </c>
      <c r="BP46" s="94">
        <v>0</v>
      </c>
      <c r="BQ46" s="94">
        <v>0</v>
      </c>
      <c r="BR46" s="94">
        <v>0</v>
      </c>
      <c r="BS46" s="94">
        <v>0</v>
      </c>
      <c r="BT46" s="95">
        <v>0</v>
      </c>
      <c r="BU46" s="124">
        <v>-63</v>
      </c>
      <c r="BV46" s="120">
        <v>0</v>
      </c>
      <c r="BW46" s="121">
        <v>0</v>
      </c>
      <c r="BX46" s="121">
        <v>0</v>
      </c>
      <c r="BY46" s="121">
        <v>0</v>
      </c>
      <c r="BZ46" s="121">
        <v>0</v>
      </c>
      <c r="CA46" s="121">
        <v>0</v>
      </c>
      <c r="CB46" s="121">
        <v>0</v>
      </c>
      <c r="CC46" s="122">
        <v>0</v>
      </c>
    </row>
    <row r="47" spans="1:81" ht="14.25">
      <c r="A47" s="396"/>
      <c r="B47" s="396"/>
      <c r="C47" s="396">
        <v>36</v>
      </c>
      <c r="D47" s="396">
        <v>41</v>
      </c>
      <c r="E47" s="396"/>
      <c r="F47" s="406"/>
      <c r="G47" s="406"/>
      <c r="H47" s="406"/>
      <c r="I47" s="406"/>
      <c r="J47" s="396"/>
      <c r="K47" s="396"/>
      <c r="L47" s="396">
        <v>36</v>
      </c>
      <c r="M47" s="396">
        <v>41</v>
      </c>
      <c r="N47" s="396"/>
      <c r="O47" s="406"/>
      <c r="P47" s="406"/>
      <c r="R47" s="394">
        <f t="shared" si="0"/>
        <v>17.50000000000086</v>
      </c>
      <c r="AA47" s="127" t="s">
        <v>175</v>
      </c>
      <c r="AB47" s="127" t="s">
        <v>176</v>
      </c>
      <c r="AC47" s="127" t="s">
        <v>177</v>
      </c>
      <c r="AD47" s="127" t="s">
        <v>178</v>
      </c>
      <c r="AE47" s="127" t="s">
        <v>179</v>
      </c>
      <c r="AF47" s="127" t="s">
        <v>180</v>
      </c>
      <c r="AG47" s="127" t="s">
        <v>181</v>
      </c>
      <c r="AH47" s="127" t="s">
        <v>182</v>
      </c>
      <c r="AI47" s="98">
        <v>-44</v>
      </c>
      <c r="AJ47" s="93">
        <v>1.1000000000000001</v>
      </c>
      <c r="AK47" s="94">
        <v>1.1000000000000001</v>
      </c>
      <c r="AL47" s="94">
        <v>1.1000000000000001</v>
      </c>
      <c r="AM47" s="94">
        <v>1.1000000000000001</v>
      </c>
      <c r="AN47" s="94">
        <v>1.1000000000000001</v>
      </c>
      <c r="AO47" s="94">
        <v>1.1000000000000001</v>
      </c>
      <c r="AP47" s="94">
        <v>1.1000000000000001</v>
      </c>
      <c r="AQ47" s="95">
        <v>1.1000000000000001</v>
      </c>
      <c r="AT47" s="98">
        <v>-62</v>
      </c>
      <c r="AU47" s="114">
        <v>0.38</v>
      </c>
      <c r="AV47" s="112">
        <v>0.38</v>
      </c>
      <c r="AW47" s="112">
        <v>0.35</v>
      </c>
      <c r="AX47" s="112">
        <v>0.3</v>
      </c>
      <c r="AY47" s="112">
        <v>0.3</v>
      </c>
      <c r="AZ47" s="112">
        <v>0.3</v>
      </c>
      <c r="BA47" s="112">
        <v>0.3</v>
      </c>
      <c r="BB47" s="115">
        <v>0.3</v>
      </c>
      <c r="BC47" s="98">
        <v>-62</v>
      </c>
      <c r="BD47" s="93">
        <v>0.26600000000000001</v>
      </c>
      <c r="BE47" s="94">
        <v>0.216</v>
      </c>
      <c r="BF47" s="94">
        <v>0.5</v>
      </c>
      <c r="BG47" s="94">
        <v>0.45</v>
      </c>
      <c r="BH47" s="94">
        <v>0.45</v>
      </c>
      <c r="BI47" s="94">
        <v>0.45</v>
      </c>
      <c r="BJ47" s="94">
        <v>0.45</v>
      </c>
      <c r="BK47" s="95">
        <v>0.45</v>
      </c>
      <c r="BL47" s="123">
        <v>-62</v>
      </c>
      <c r="BM47" s="93">
        <v>0</v>
      </c>
      <c r="BN47" s="94">
        <v>0</v>
      </c>
      <c r="BO47" s="94">
        <v>0</v>
      </c>
      <c r="BP47" s="94">
        <v>0</v>
      </c>
      <c r="BQ47" s="94">
        <v>0</v>
      </c>
      <c r="BR47" s="94">
        <v>0</v>
      </c>
      <c r="BS47" s="94">
        <v>0</v>
      </c>
      <c r="BT47" s="95">
        <v>0</v>
      </c>
      <c r="BU47" s="124">
        <v>-62</v>
      </c>
      <c r="BV47" s="120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2">
        <v>0</v>
      </c>
    </row>
    <row r="48" spans="1:81" ht="15.75">
      <c r="A48" s="396"/>
      <c r="B48" s="396"/>
      <c r="C48" s="396">
        <v>37</v>
      </c>
      <c r="D48" s="396">
        <v>42</v>
      </c>
      <c r="E48" s="396"/>
      <c r="F48" s="406"/>
      <c r="G48" s="406"/>
      <c r="H48" s="406"/>
      <c r="I48" s="406"/>
      <c r="J48" s="396"/>
      <c r="K48" s="396"/>
      <c r="L48" s="396">
        <v>37</v>
      </c>
      <c r="M48" s="396">
        <v>42</v>
      </c>
      <c r="N48" s="396"/>
      <c r="O48" s="406"/>
      <c r="P48" s="406"/>
      <c r="R48" s="394">
        <f t="shared" si="0"/>
        <v>17.888888888889749</v>
      </c>
      <c r="AA48" s="989" t="s">
        <v>183</v>
      </c>
      <c r="AB48" s="989"/>
      <c r="AC48" s="989"/>
      <c r="AD48" s="989"/>
      <c r="AE48" s="989"/>
      <c r="AF48" s="989"/>
      <c r="AG48" s="989"/>
      <c r="AH48" s="989"/>
      <c r="AI48" s="98">
        <v>-43</v>
      </c>
      <c r="AJ48" s="93">
        <v>1.1000000000000001</v>
      </c>
      <c r="AK48" s="94">
        <v>1.1000000000000001</v>
      </c>
      <c r="AL48" s="94">
        <v>1.1000000000000001</v>
      </c>
      <c r="AM48" s="94">
        <v>1.1000000000000001</v>
      </c>
      <c r="AN48" s="94">
        <v>1.1000000000000001</v>
      </c>
      <c r="AO48" s="94">
        <v>1.1000000000000001</v>
      </c>
      <c r="AP48" s="94">
        <v>1.1000000000000001</v>
      </c>
      <c r="AQ48" s="95">
        <v>1.1000000000000001</v>
      </c>
      <c r="AT48" s="98">
        <v>-61</v>
      </c>
      <c r="AU48" s="114">
        <v>0.38</v>
      </c>
      <c r="AV48" s="112">
        <v>0.38</v>
      </c>
      <c r="AW48" s="112">
        <v>0.35</v>
      </c>
      <c r="AX48" s="112">
        <v>0.3</v>
      </c>
      <c r="AY48" s="112">
        <v>0.3</v>
      </c>
      <c r="AZ48" s="112">
        <v>0.3</v>
      </c>
      <c r="BA48" s="112">
        <v>0.3</v>
      </c>
      <c r="BB48" s="115">
        <v>0.3</v>
      </c>
      <c r="BC48" s="98">
        <v>-61</v>
      </c>
      <c r="BD48" s="93">
        <v>0.27300000000000002</v>
      </c>
      <c r="BE48" s="94">
        <v>0.223</v>
      </c>
      <c r="BF48" s="94">
        <v>0.5</v>
      </c>
      <c r="BG48" s="94">
        <v>0.45</v>
      </c>
      <c r="BH48" s="94">
        <v>0.45</v>
      </c>
      <c r="BI48" s="94">
        <v>0.45</v>
      </c>
      <c r="BJ48" s="94">
        <v>0.45</v>
      </c>
      <c r="BK48" s="95">
        <v>0.45</v>
      </c>
      <c r="BL48" s="123">
        <v>-61</v>
      </c>
      <c r="BM48" s="93">
        <v>0</v>
      </c>
      <c r="BN48" s="94">
        <v>0</v>
      </c>
      <c r="BO48" s="94">
        <v>0</v>
      </c>
      <c r="BP48" s="94">
        <v>0</v>
      </c>
      <c r="BQ48" s="94">
        <v>0</v>
      </c>
      <c r="BR48" s="94">
        <v>0</v>
      </c>
      <c r="BS48" s="94">
        <v>0</v>
      </c>
      <c r="BT48" s="95">
        <v>0</v>
      </c>
      <c r="BU48" s="124">
        <v>-61</v>
      </c>
      <c r="BV48" s="120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2">
        <v>0</v>
      </c>
    </row>
    <row r="49" spans="1:81" ht="14.25">
      <c r="A49" s="396"/>
      <c r="B49" s="396"/>
      <c r="C49" s="396">
        <v>38</v>
      </c>
      <c r="D49" s="396">
        <v>43</v>
      </c>
      <c r="E49" s="396"/>
      <c r="F49" s="406"/>
      <c r="G49" s="406"/>
      <c r="H49" s="406"/>
      <c r="I49" s="406"/>
      <c r="J49" s="396"/>
      <c r="K49" s="396"/>
      <c r="L49" s="396">
        <v>38</v>
      </c>
      <c r="M49" s="396">
        <v>43</v>
      </c>
      <c r="N49" s="396"/>
      <c r="O49" s="406"/>
      <c r="P49" s="406"/>
      <c r="R49" s="394">
        <f t="shared" si="0"/>
        <v>18.277777777778638</v>
      </c>
      <c r="AA49" s="127" t="s">
        <v>175</v>
      </c>
      <c r="AB49" s="127" t="s">
        <v>176</v>
      </c>
      <c r="AC49" s="127" t="s">
        <v>177</v>
      </c>
      <c r="AD49" s="127" t="s">
        <v>178</v>
      </c>
      <c r="AE49" s="127" t="s">
        <v>179</v>
      </c>
      <c r="AF49" s="127" t="s">
        <v>180</v>
      </c>
      <c r="AG49" s="127" t="s">
        <v>181</v>
      </c>
      <c r="AH49" s="127" t="s">
        <v>182</v>
      </c>
      <c r="AI49" s="98">
        <v>-42</v>
      </c>
      <c r="AJ49" s="93">
        <v>1.1000000000000001</v>
      </c>
      <c r="AK49" s="94">
        <v>1.1000000000000001</v>
      </c>
      <c r="AL49" s="94">
        <v>1.1000000000000001</v>
      </c>
      <c r="AM49" s="94">
        <v>1.1000000000000001</v>
      </c>
      <c r="AN49" s="94">
        <v>1.1000000000000001</v>
      </c>
      <c r="AO49" s="94">
        <v>1.1000000000000001</v>
      </c>
      <c r="AP49" s="94">
        <v>1.1000000000000001</v>
      </c>
      <c r="AQ49" s="95">
        <v>1.1000000000000001</v>
      </c>
      <c r="AT49" s="98">
        <v>-60</v>
      </c>
      <c r="AU49" s="114">
        <v>0.38</v>
      </c>
      <c r="AV49" s="112">
        <v>0.38</v>
      </c>
      <c r="AW49" s="112">
        <v>0.35</v>
      </c>
      <c r="AX49" s="112">
        <v>0.3</v>
      </c>
      <c r="AY49" s="112">
        <v>0.3</v>
      </c>
      <c r="AZ49" s="112">
        <v>0.3</v>
      </c>
      <c r="BA49" s="112">
        <v>0.3</v>
      </c>
      <c r="BB49" s="115">
        <v>0.3</v>
      </c>
      <c r="BC49" s="98">
        <v>-60</v>
      </c>
      <c r="BD49" s="93">
        <v>0.28000000000000003</v>
      </c>
      <c r="BE49" s="94">
        <v>0.23</v>
      </c>
      <c r="BF49" s="94">
        <v>0.5</v>
      </c>
      <c r="BG49" s="94">
        <v>0.45</v>
      </c>
      <c r="BH49" s="94">
        <v>0.45</v>
      </c>
      <c r="BI49" s="94">
        <v>0.45</v>
      </c>
      <c r="BJ49" s="94">
        <v>0.45</v>
      </c>
      <c r="BK49" s="95">
        <v>0.45</v>
      </c>
      <c r="BL49" s="123">
        <v>-60</v>
      </c>
      <c r="BM49" s="93">
        <v>0</v>
      </c>
      <c r="BN49" s="94">
        <v>0</v>
      </c>
      <c r="BO49" s="94">
        <v>0</v>
      </c>
      <c r="BP49" s="94">
        <v>0</v>
      </c>
      <c r="BQ49" s="94">
        <v>0</v>
      </c>
      <c r="BR49" s="94">
        <v>0</v>
      </c>
      <c r="BS49" s="94">
        <v>0</v>
      </c>
      <c r="BT49" s="95">
        <v>0</v>
      </c>
      <c r="BU49" s="124">
        <v>-60</v>
      </c>
      <c r="BV49" s="120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2">
        <v>0</v>
      </c>
    </row>
    <row r="50" spans="1:81" ht="14.25">
      <c r="A50" s="396"/>
      <c r="B50" s="396"/>
      <c r="C50" s="396">
        <v>39</v>
      </c>
      <c r="D50" s="396">
        <v>44</v>
      </c>
      <c r="E50" s="396"/>
      <c r="F50" s="406"/>
      <c r="G50" s="406"/>
      <c r="H50" s="406"/>
      <c r="I50" s="406"/>
      <c r="J50" s="396"/>
      <c r="K50" s="396"/>
      <c r="L50" s="396">
        <v>39</v>
      </c>
      <c r="M50" s="396">
        <v>44</v>
      </c>
      <c r="N50" s="396"/>
      <c r="O50" s="406"/>
      <c r="P50" s="406"/>
      <c r="R50" s="394">
        <f t="shared" si="0"/>
        <v>18.666666666667528</v>
      </c>
      <c r="AA50" s="89"/>
      <c r="AB50" s="89"/>
      <c r="AC50" s="89"/>
      <c r="AD50" s="89"/>
      <c r="AE50" s="89"/>
      <c r="AF50" s="89"/>
      <c r="AG50" s="89"/>
      <c r="AH50" s="89"/>
      <c r="AI50" s="98">
        <v>-41</v>
      </c>
      <c r="AJ50" s="93">
        <v>1.1000000000000001</v>
      </c>
      <c r="AK50" s="94">
        <v>1.1000000000000001</v>
      </c>
      <c r="AL50" s="94">
        <v>1.1000000000000001</v>
      </c>
      <c r="AM50" s="94">
        <v>1.1000000000000001</v>
      </c>
      <c r="AN50" s="94">
        <v>1.1000000000000001</v>
      </c>
      <c r="AO50" s="94">
        <v>1.1000000000000001</v>
      </c>
      <c r="AP50" s="94">
        <v>1.1000000000000001</v>
      </c>
      <c r="AQ50" s="95">
        <v>1.1000000000000001</v>
      </c>
      <c r="AT50" s="98">
        <v>-59</v>
      </c>
      <c r="AU50" s="114">
        <v>0.38</v>
      </c>
      <c r="AV50" s="112">
        <v>0.38</v>
      </c>
      <c r="AW50" s="112">
        <v>0.35</v>
      </c>
      <c r="AX50" s="112">
        <v>0.3</v>
      </c>
      <c r="AY50" s="112">
        <v>0.3</v>
      </c>
      <c r="AZ50" s="112">
        <v>0.3</v>
      </c>
      <c r="BA50" s="112">
        <v>0.3</v>
      </c>
      <c r="BB50" s="115">
        <v>0.3</v>
      </c>
      <c r="BC50" s="98">
        <v>-59</v>
      </c>
      <c r="BD50" s="93">
        <v>0.28700000000000003</v>
      </c>
      <c r="BE50" s="94">
        <v>0.23700000000000002</v>
      </c>
      <c r="BF50" s="94">
        <v>0.5</v>
      </c>
      <c r="BG50" s="94">
        <v>0.45</v>
      </c>
      <c r="BH50" s="94">
        <v>0.45</v>
      </c>
      <c r="BI50" s="94">
        <v>0.45</v>
      </c>
      <c r="BJ50" s="94">
        <v>0.45</v>
      </c>
      <c r="BK50" s="95">
        <v>0.45</v>
      </c>
      <c r="BL50" s="123">
        <v>-59</v>
      </c>
      <c r="BM50" s="93">
        <v>0</v>
      </c>
      <c r="BN50" s="94">
        <v>0</v>
      </c>
      <c r="BO50" s="94">
        <v>0</v>
      </c>
      <c r="BP50" s="94">
        <v>0</v>
      </c>
      <c r="BQ50" s="94">
        <v>0</v>
      </c>
      <c r="BR50" s="94">
        <v>0</v>
      </c>
      <c r="BS50" s="94">
        <v>0</v>
      </c>
      <c r="BT50" s="95">
        <v>0</v>
      </c>
      <c r="BU50" s="124">
        <v>-59</v>
      </c>
      <c r="BV50" s="120">
        <v>0</v>
      </c>
      <c r="BW50" s="121">
        <v>0</v>
      </c>
      <c r="BX50" s="121">
        <v>0</v>
      </c>
      <c r="BY50" s="121">
        <v>0</v>
      </c>
      <c r="BZ50" s="121">
        <v>0</v>
      </c>
      <c r="CA50" s="121">
        <v>0</v>
      </c>
      <c r="CB50" s="121">
        <v>0</v>
      </c>
      <c r="CC50" s="122">
        <v>0</v>
      </c>
    </row>
    <row r="51" spans="1:81" ht="14.25">
      <c r="A51" s="396"/>
      <c r="B51" s="396"/>
      <c r="C51" s="396">
        <v>40</v>
      </c>
      <c r="D51" s="396">
        <v>45</v>
      </c>
      <c r="E51" s="396"/>
      <c r="F51" s="406"/>
      <c r="G51" s="406"/>
      <c r="H51" s="406"/>
      <c r="I51" s="406"/>
      <c r="J51" s="396"/>
      <c r="K51" s="396"/>
      <c r="L51" s="396">
        <v>40</v>
      </c>
      <c r="M51" s="396">
        <v>45</v>
      </c>
      <c r="N51" s="396"/>
      <c r="O51" s="406"/>
      <c r="P51" s="406"/>
      <c r="R51" s="394">
        <f t="shared" si="0"/>
        <v>19.055555555556417</v>
      </c>
      <c r="AA51" s="89"/>
      <c r="AB51" s="89"/>
      <c r="AC51" s="89"/>
      <c r="AD51" s="89"/>
      <c r="AE51" s="89"/>
      <c r="AF51" s="89"/>
      <c r="AG51" s="89"/>
      <c r="AH51" s="89"/>
      <c r="AI51" s="98">
        <v>-40</v>
      </c>
      <c r="AJ51" s="93">
        <v>1.1000000000000001</v>
      </c>
      <c r="AK51" s="94">
        <v>1.1000000000000001</v>
      </c>
      <c r="AL51" s="94">
        <v>1.1000000000000001</v>
      </c>
      <c r="AM51" s="94">
        <v>1.1000000000000001</v>
      </c>
      <c r="AN51" s="94">
        <v>1.1000000000000001</v>
      </c>
      <c r="AO51" s="94">
        <v>1.1000000000000001</v>
      </c>
      <c r="AP51" s="94">
        <v>1.1000000000000001</v>
      </c>
      <c r="AQ51" s="95">
        <v>1.1000000000000001</v>
      </c>
      <c r="AT51" s="98">
        <v>-58</v>
      </c>
      <c r="AU51" s="114">
        <v>0.38</v>
      </c>
      <c r="AV51" s="112">
        <v>0.38</v>
      </c>
      <c r="AW51" s="112">
        <v>0.35</v>
      </c>
      <c r="AX51" s="112">
        <v>0.3</v>
      </c>
      <c r="AY51" s="112">
        <v>0.3</v>
      </c>
      <c r="AZ51" s="112">
        <v>0.3</v>
      </c>
      <c r="BA51" s="112">
        <v>0.3</v>
      </c>
      <c r="BB51" s="115">
        <v>0.3</v>
      </c>
      <c r="BC51" s="98">
        <v>-58</v>
      </c>
      <c r="BD51" s="93">
        <v>0.29399999999999998</v>
      </c>
      <c r="BE51" s="94">
        <v>0.24399999999999999</v>
      </c>
      <c r="BF51" s="94">
        <v>0.5</v>
      </c>
      <c r="BG51" s="94">
        <v>0.45</v>
      </c>
      <c r="BH51" s="94">
        <v>0.45</v>
      </c>
      <c r="BI51" s="94">
        <v>0.45</v>
      </c>
      <c r="BJ51" s="94">
        <v>0.45</v>
      </c>
      <c r="BK51" s="95">
        <v>0.45</v>
      </c>
      <c r="BL51" s="123">
        <v>-58</v>
      </c>
      <c r="BM51" s="93">
        <v>0</v>
      </c>
      <c r="BN51" s="94">
        <v>0</v>
      </c>
      <c r="BO51" s="94">
        <v>0</v>
      </c>
      <c r="BP51" s="94">
        <v>0</v>
      </c>
      <c r="BQ51" s="94">
        <v>0</v>
      </c>
      <c r="BR51" s="94">
        <v>0</v>
      </c>
      <c r="BS51" s="94">
        <v>0</v>
      </c>
      <c r="BT51" s="95">
        <v>0</v>
      </c>
      <c r="BU51" s="124">
        <v>-58</v>
      </c>
      <c r="BV51" s="120">
        <v>0</v>
      </c>
      <c r="BW51" s="121">
        <v>0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2">
        <v>0</v>
      </c>
    </row>
    <row r="52" spans="1:81" ht="14.25">
      <c r="A52" s="396"/>
      <c r="B52" s="396"/>
      <c r="C52" s="396">
        <v>41</v>
      </c>
      <c r="D52" s="396">
        <v>45.8</v>
      </c>
      <c r="E52" s="396"/>
      <c r="F52" s="406"/>
      <c r="G52" s="406"/>
      <c r="H52" s="406"/>
      <c r="I52" s="406"/>
      <c r="J52" s="396"/>
      <c r="K52" s="396"/>
      <c r="L52" s="396">
        <v>41</v>
      </c>
      <c r="M52" s="396">
        <v>45.8</v>
      </c>
      <c r="N52" s="396"/>
      <c r="O52" s="406"/>
      <c r="P52" s="406"/>
      <c r="R52" s="394">
        <f t="shared" si="0"/>
        <v>19.444444444445306</v>
      </c>
      <c r="AA52" s="89"/>
      <c r="AB52" s="89"/>
      <c r="AC52" s="89"/>
      <c r="AD52" s="89"/>
      <c r="AE52" s="89"/>
      <c r="AF52" s="89"/>
      <c r="AG52" s="89"/>
      <c r="AH52" s="89"/>
      <c r="AI52" s="98">
        <v>-39</v>
      </c>
      <c r="AJ52" s="93">
        <v>1.1000000000000001</v>
      </c>
      <c r="AK52" s="94">
        <v>1.1000000000000001</v>
      </c>
      <c r="AL52" s="94">
        <v>1.1000000000000001</v>
      </c>
      <c r="AM52" s="94">
        <v>1.1000000000000001</v>
      </c>
      <c r="AN52" s="94">
        <v>1.1000000000000001</v>
      </c>
      <c r="AO52" s="94">
        <v>1.1000000000000001</v>
      </c>
      <c r="AP52" s="94">
        <v>1.1000000000000001</v>
      </c>
      <c r="AQ52" s="95">
        <v>1.1000000000000001</v>
      </c>
      <c r="AT52" s="98">
        <v>-57</v>
      </c>
      <c r="AU52" s="114">
        <v>0.38</v>
      </c>
      <c r="AV52" s="112">
        <v>0.38</v>
      </c>
      <c r="AW52" s="112">
        <v>0.35</v>
      </c>
      <c r="AX52" s="112">
        <v>0.3</v>
      </c>
      <c r="AY52" s="112">
        <v>0.3</v>
      </c>
      <c r="AZ52" s="112">
        <v>0.3</v>
      </c>
      <c r="BA52" s="112">
        <v>0.3</v>
      </c>
      <c r="BB52" s="115">
        <v>0.3</v>
      </c>
      <c r="BC52" s="98">
        <v>-57</v>
      </c>
      <c r="BD52" s="93">
        <v>0.30099999999999999</v>
      </c>
      <c r="BE52" s="94">
        <v>0.251</v>
      </c>
      <c r="BF52" s="94">
        <v>0.5</v>
      </c>
      <c r="BG52" s="94">
        <v>0.45</v>
      </c>
      <c r="BH52" s="94">
        <v>0.45</v>
      </c>
      <c r="BI52" s="94">
        <v>0.45</v>
      </c>
      <c r="BJ52" s="94">
        <v>0.45</v>
      </c>
      <c r="BK52" s="95">
        <v>0.45</v>
      </c>
      <c r="BL52" s="123">
        <v>-57</v>
      </c>
      <c r="BM52" s="93">
        <v>0</v>
      </c>
      <c r="BN52" s="94">
        <v>0</v>
      </c>
      <c r="BO52" s="94">
        <v>0</v>
      </c>
      <c r="BP52" s="94">
        <v>0</v>
      </c>
      <c r="BQ52" s="94">
        <v>0</v>
      </c>
      <c r="BR52" s="94">
        <v>0</v>
      </c>
      <c r="BS52" s="94">
        <v>0</v>
      </c>
      <c r="BT52" s="95">
        <v>0</v>
      </c>
      <c r="BU52" s="124">
        <v>-57</v>
      </c>
      <c r="BV52" s="120">
        <v>0</v>
      </c>
      <c r="BW52" s="121">
        <v>0</v>
      </c>
      <c r="BX52" s="121">
        <v>0</v>
      </c>
      <c r="BY52" s="121">
        <v>0</v>
      </c>
      <c r="BZ52" s="121">
        <v>0</v>
      </c>
      <c r="CA52" s="121">
        <v>0</v>
      </c>
      <c r="CB52" s="121">
        <v>0</v>
      </c>
      <c r="CC52" s="122">
        <v>0</v>
      </c>
    </row>
    <row r="53" spans="1:81" ht="14.25">
      <c r="A53" s="396"/>
      <c r="B53" s="396"/>
      <c r="C53" s="396">
        <v>42</v>
      </c>
      <c r="D53" s="396">
        <v>46.6</v>
      </c>
      <c r="E53" s="396"/>
      <c r="F53" s="406"/>
      <c r="G53" s="406"/>
      <c r="H53" s="406"/>
      <c r="I53" s="406"/>
      <c r="J53" s="396"/>
      <c r="K53" s="396"/>
      <c r="L53" s="396">
        <v>42</v>
      </c>
      <c r="M53" s="396">
        <v>46.6</v>
      </c>
      <c r="N53" s="396"/>
      <c r="O53" s="406"/>
      <c r="P53" s="406"/>
      <c r="R53" s="394">
        <f t="shared" si="0"/>
        <v>19.833333333334195</v>
      </c>
      <c r="AA53" s="89"/>
      <c r="AB53" s="89"/>
      <c r="AC53" s="89"/>
      <c r="AD53" s="89"/>
      <c r="AE53" s="89"/>
      <c r="AF53" s="89"/>
      <c r="AG53" s="89"/>
      <c r="AH53" s="89"/>
      <c r="AI53" s="98">
        <v>-38</v>
      </c>
      <c r="AJ53" s="93">
        <v>1.1000000000000001</v>
      </c>
      <c r="AK53" s="94">
        <v>1.1000000000000001</v>
      </c>
      <c r="AL53" s="94">
        <v>1.1000000000000001</v>
      </c>
      <c r="AM53" s="94">
        <v>1.1000000000000001</v>
      </c>
      <c r="AN53" s="94">
        <v>1.1000000000000001</v>
      </c>
      <c r="AO53" s="94">
        <v>1.1000000000000001</v>
      </c>
      <c r="AP53" s="94">
        <v>1.1000000000000001</v>
      </c>
      <c r="AQ53" s="95">
        <v>1.1000000000000001</v>
      </c>
      <c r="AT53" s="98">
        <v>-56</v>
      </c>
      <c r="AU53" s="114">
        <v>0.38</v>
      </c>
      <c r="AV53" s="112">
        <v>0.38</v>
      </c>
      <c r="AW53" s="112">
        <v>0.35</v>
      </c>
      <c r="AX53" s="112">
        <v>0.3</v>
      </c>
      <c r="AY53" s="112">
        <v>0.3</v>
      </c>
      <c r="AZ53" s="112">
        <v>0.3</v>
      </c>
      <c r="BA53" s="112">
        <v>0.3</v>
      </c>
      <c r="BB53" s="115">
        <v>0.3</v>
      </c>
      <c r="BC53" s="98">
        <v>-56</v>
      </c>
      <c r="BD53" s="93">
        <v>0.308</v>
      </c>
      <c r="BE53" s="94">
        <v>0.25800000000000001</v>
      </c>
      <c r="BF53" s="94">
        <v>0.5</v>
      </c>
      <c r="BG53" s="94">
        <v>0.45</v>
      </c>
      <c r="BH53" s="94">
        <v>0.45</v>
      </c>
      <c r="BI53" s="94">
        <v>0.45</v>
      </c>
      <c r="BJ53" s="94">
        <v>0.45</v>
      </c>
      <c r="BK53" s="95">
        <v>0.45</v>
      </c>
      <c r="BL53" s="123">
        <v>-56</v>
      </c>
      <c r="BM53" s="93">
        <v>0</v>
      </c>
      <c r="BN53" s="94">
        <v>0</v>
      </c>
      <c r="BO53" s="94">
        <v>0</v>
      </c>
      <c r="BP53" s="94">
        <v>0</v>
      </c>
      <c r="BQ53" s="94">
        <v>0</v>
      </c>
      <c r="BR53" s="94">
        <v>0</v>
      </c>
      <c r="BS53" s="94">
        <v>0</v>
      </c>
      <c r="BT53" s="95">
        <v>0</v>
      </c>
      <c r="BU53" s="124">
        <v>-56</v>
      </c>
      <c r="BV53" s="120">
        <v>0</v>
      </c>
      <c r="BW53" s="121">
        <v>0</v>
      </c>
      <c r="BX53" s="121">
        <v>0</v>
      </c>
      <c r="BY53" s="121">
        <v>0</v>
      </c>
      <c r="BZ53" s="121">
        <v>0</v>
      </c>
      <c r="CA53" s="121">
        <v>0</v>
      </c>
      <c r="CB53" s="121">
        <v>0</v>
      </c>
      <c r="CC53" s="122">
        <v>0</v>
      </c>
    </row>
    <row r="54" spans="1:81" ht="14.25">
      <c r="A54" s="396"/>
      <c r="B54" s="396"/>
      <c r="C54" s="396">
        <v>43</v>
      </c>
      <c r="D54" s="396">
        <v>47.4</v>
      </c>
      <c r="E54" s="396"/>
      <c r="F54" s="406"/>
      <c r="G54" s="406"/>
      <c r="H54" s="406"/>
      <c r="I54" s="406"/>
      <c r="J54" s="396"/>
      <c r="K54" s="396"/>
      <c r="L54" s="396">
        <v>43</v>
      </c>
      <c r="M54" s="396">
        <v>47.4</v>
      </c>
      <c r="N54" s="396"/>
      <c r="O54" s="406"/>
      <c r="P54" s="406"/>
      <c r="R54" s="394">
        <f t="shared" si="0"/>
        <v>20.222222222223085</v>
      </c>
      <c r="AA54" s="89">
        <f t="shared" ref="AA54:AH54" si="25">AA4-AA6</f>
        <v>-61.90000193984622</v>
      </c>
      <c r="AB54" s="89">
        <f t="shared" si="25"/>
        <v>-69.171236891137198</v>
      </c>
      <c r="AC54" s="89">
        <f t="shared" si="25"/>
        <v>-79.205535972311395</v>
      </c>
      <c r="AD54" s="89">
        <f t="shared" si="25"/>
        <v>-88.088098055896353</v>
      </c>
      <c r="AE54" s="89" t="e">
        <f t="shared" si="25"/>
        <v>#N/A</v>
      </c>
      <c r="AF54" s="89" t="e">
        <f t="shared" si="25"/>
        <v>#N/A</v>
      </c>
      <c r="AG54" s="89" t="e">
        <f t="shared" si="25"/>
        <v>#N/A</v>
      </c>
      <c r="AH54" s="89" t="e">
        <f t="shared" si="25"/>
        <v>#N/A</v>
      </c>
      <c r="AI54" s="98">
        <v>-37</v>
      </c>
      <c r="AJ54" s="93">
        <v>1.1000000000000001</v>
      </c>
      <c r="AK54" s="94">
        <v>1.1000000000000001</v>
      </c>
      <c r="AL54" s="94">
        <v>1.1000000000000001</v>
      </c>
      <c r="AM54" s="94">
        <v>1.1000000000000001</v>
      </c>
      <c r="AN54" s="94">
        <v>1.1000000000000001</v>
      </c>
      <c r="AO54" s="94">
        <v>1.1000000000000001</v>
      </c>
      <c r="AP54" s="94">
        <v>1.1000000000000001</v>
      </c>
      <c r="AQ54" s="95">
        <v>1.1000000000000001</v>
      </c>
      <c r="AT54" s="98">
        <v>-55</v>
      </c>
      <c r="AU54" s="114">
        <v>0.38</v>
      </c>
      <c r="AV54" s="112">
        <v>0.38</v>
      </c>
      <c r="AW54" s="112">
        <v>0.35</v>
      </c>
      <c r="AX54" s="112">
        <v>0.3</v>
      </c>
      <c r="AY54" s="112">
        <v>0.3</v>
      </c>
      <c r="AZ54" s="112">
        <v>0.3</v>
      </c>
      <c r="BA54" s="112">
        <v>0.3</v>
      </c>
      <c r="BB54" s="115">
        <v>0.3</v>
      </c>
      <c r="BC54" s="98">
        <v>-55</v>
      </c>
      <c r="BD54" s="93">
        <v>0.315</v>
      </c>
      <c r="BE54" s="94">
        <v>0.26500000000000001</v>
      </c>
      <c r="BF54" s="94">
        <v>0.5</v>
      </c>
      <c r="BG54" s="94">
        <v>0.45</v>
      </c>
      <c r="BH54" s="94">
        <v>0.45</v>
      </c>
      <c r="BI54" s="94">
        <v>0.45</v>
      </c>
      <c r="BJ54" s="94">
        <v>0.45</v>
      </c>
      <c r="BK54" s="95">
        <v>0.45</v>
      </c>
      <c r="BL54" s="123">
        <v>-55</v>
      </c>
      <c r="BM54" s="93">
        <v>0</v>
      </c>
      <c r="BN54" s="94">
        <v>0</v>
      </c>
      <c r="BO54" s="94">
        <v>0</v>
      </c>
      <c r="BP54" s="94">
        <v>0</v>
      </c>
      <c r="BQ54" s="94">
        <v>0</v>
      </c>
      <c r="BR54" s="94">
        <v>0</v>
      </c>
      <c r="BS54" s="94">
        <v>0</v>
      </c>
      <c r="BT54" s="95">
        <v>0</v>
      </c>
      <c r="BU54" s="124">
        <v>-55</v>
      </c>
      <c r="BV54" s="120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0</v>
      </c>
      <c r="CB54" s="121">
        <v>0</v>
      </c>
      <c r="CC54" s="122">
        <v>0</v>
      </c>
    </row>
    <row r="55" spans="1:81" ht="14.25">
      <c r="A55" s="396"/>
      <c r="B55" s="396"/>
      <c r="C55" s="396">
        <v>44</v>
      </c>
      <c r="D55" s="396">
        <v>48.2</v>
      </c>
      <c r="E55" s="396"/>
      <c r="F55" s="406"/>
      <c r="G55" s="406"/>
      <c r="H55" s="406"/>
      <c r="I55" s="406"/>
      <c r="J55" s="396"/>
      <c r="K55" s="396"/>
      <c r="L55" s="396">
        <v>44</v>
      </c>
      <c r="M55" s="396">
        <v>48.2</v>
      </c>
      <c r="N55" s="396"/>
      <c r="O55" s="406"/>
      <c r="P55" s="406"/>
      <c r="R55" s="394">
        <f t="shared" si="0"/>
        <v>20.611111111111974</v>
      </c>
      <c r="AA55" s="89">
        <f t="shared" ref="AA55:AH55" si="26">IF(ISERROR(AA54),"NC",AA54)</f>
        <v>-61.90000193984622</v>
      </c>
      <c r="AB55" s="89">
        <f t="shared" si="26"/>
        <v>-69.171236891137198</v>
      </c>
      <c r="AC55" s="89">
        <f t="shared" si="26"/>
        <v>-79.205535972311395</v>
      </c>
      <c r="AD55" s="89">
        <f t="shared" si="26"/>
        <v>-88.088098055896353</v>
      </c>
      <c r="AE55" s="89" t="str">
        <f t="shared" si="26"/>
        <v>NC</v>
      </c>
      <c r="AF55" s="89" t="str">
        <f t="shared" si="26"/>
        <v>NC</v>
      </c>
      <c r="AG55" s="89" t="str">
        <f t="shared" si="26"/>
        <v>NC</v>
      </c>
      <c r="AH55" s="89" t="str">
        <f t="shared" si="26"/>
        <v>NC</v>
      </c>
      <c r="AI55" s="98">
        <v>-36</v>
      </c>
      <c r="AJ55" s="93">
        <v>1.1000000000000001</v>
      </c>
      <c r="AK55" s="94">
        <v>1.1000000000000001</v>
      </c>
      <c r="AL55" s="94">
        <v>1.1000000000000001</v>
      </c>
      <c r="AM55" s="94">
        <v>1.1000000000000001</v>
      </c>
      <c r="AN55" s="94">
        <v>1.1000000000000001</v>
      </c>
      <c r="AO55" s="94">
        <v>1.1000000000000001</v>
      </c>
      <c r="AP55" s="94">
        <v>1.1000000000000001</v>
      </c>
      <c r="AQ55" s="95">
        <v>1.1000000000000001</v>
      </c>
      <c r="AT55" s="98">
        <v>-54</v>
      </c>
      <c r="AU55" s="114">
        <v>0.38</v>
      </c>
      <c r="AV55" s="112">
        <v>0.38</v>
      </c>
      <c r="AW55" s="112">
        <v>0.35</v>
      </c>
      <c r="AX55" s="112">
        <v>0.3</v>
      </c>
      <c r="AY55" s="112">
        <v>0.3</v>
      </c>
      <c r="AZ55" s="112">
        <v>0.3</v>
      </c>
      <c r="BA55" s="112">
        <v>0.3</v>
      </c>
      <c r="BB55" s="115">
        <v>0.3</v>
      </c>
      <c r="BC55" s="98">
        <v>-54</v>
      </c>
      <c r="BD55" s="93">
        <v>0.32200000000000001</v>
      </c>
      <c r="BE55" s="94">
        <v>0.27200000000000002</v>
      </c>
      <c r="BF55" s="94">
        <v>0.5</v>
      </c>
      <c r="BG55" s="94">
        <v>0.45</v>
      </c>
      <c r="BH55" s="94">
        <v>0.45</v>
      </c>
      <c r="BI55" s="94">
        <v>0.45</v>
      </c>
      <c r="BJ55" s="94">
        <v>0.45</v>
      </c>
      <c r="BK55" s="95">
        <v>0.45</v>
      </c>
      <c r="BL55" s="123">
        <v>-54</v>
      </c>
      <c r="BM55" s="93">
        <v>0</v>
      </c>
      <c r="BN55" s="94">
        <v>0</v>
      </c>
      <c r="BO55" s="94">
        <v>0</v>
      </c>
      <c r="BP55" s="94">
        <v>0</v>
      </c>
      <c r="BQ55" s="94">
        <v>0</v>
      </c>
      <c r="BR55" s="94">
        <v>0</v>
      </c>
      <c r="BS55" s="94">
        <v>0</v>
      </c>
      <c r="BT55" s="95">
        <v>0</v>
      </c>
      <c r="BU55" s="124">
        <v>-54</v>
      </c>
      <c r="BV55" s="120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2">
        <v>0</v>
      </c>
    </row>
    <row r="56" spans="1:81" ht="14.25">
      <c r="A56" s="396"/>
      <c r="B56" s="396"/>
      <c r="C56" s="396">
        <v>45</v>
      </c>
      <c r="D56" s="396">
        <v>49</v>
      </c>
      <c r="E56" s="396"/>
      <c r="F56" s="406"/>
      <c r="G56" s="406"/>
      <c r="H56" s="406"/>
      <c r="I56" s="406"/>
      <c r="J56" s="396"/>
      <c r="K56" s="396"/>
      <c r="L56" s="396">
        <v>45</v>
      </c>
      <c r="M56" s="396">
        <v>49</v>
      </c>
      <c r="N56" s="396"/>
      <c r="O56" s="406"/>
      <c r="P56" s="406"/>
      <c r="R56" s="394">
        <f t="shared" si="0"/>
        <v>21.000000000000863</v>
      </c>
      <c r="AA56" s="89" t="str">
        <f t="shared" ref="AA56:AH56" si="27">IF(AA55&gt;-1.5,AA54,"NC")</f>
        <v>NC</v>
      </c>
      <c r="AB56" s="89" t="str">
        <f t="shared" si="27"/>
        <v>NC</v>
      </c>
      <c r="AC56" s="89" t="str">
        <f t="shared" si="27"/>
        <v>NC</v>
      </c>
      <c r="AD56" s="89" t="str">
        <f t="shared" si="27"/>
        <v>NC</v>
      </c>
      <c r="AE56" s="89" t="e">
        <f t="shared" si="27"/>
        <v>#N/A</v>
      </c>
      <c r="AF56" s="89" t="e">
        <f t="shared" si="27"/>
        <v>#N/A</v>
      </c>
      <c r="AG56" s="89" t="e">
        <f t="shared" si="27"/>
        <v>#N/A</v>
      </c>
      <c r="AH56" s="89" t="e">
        <f t="shared" si="27"/>
        <v>#N/A</v>
      </c>
      <c r="AI56" s="98">
        <v>-35</v>
      </c>
      <c r="AJ56" s="93">
        <v>1.1000000000000001</v>
      </c>
      <c r="AK56" s="94">
        <v>1.1000000000000001</v>
      </c>
      <c r="AL56" s="94">
        <v>1.1000000000000001</v>
      </c>
      <c r="AM56" s="94">
        <v>1.1000000000000001</v>
      </c>
      <c r="AN56" s="94">
        <v>1.1000000000000001</v>
      </c>
      <c r="AO56" s="94">
        <v>1.1000000000000001</v>
      </c>
      <c r="AP56" s="94">
        <v>1.1000000000000001</v>
      </c>
      <c r="AQ56" s="95">
        <v>1.1000000000000001</v>
      </c>
      <c r="AT56" s="98">
        <v>-53</v>
      </c>
      <c r="AU56" s="114">
        <v>0.38</v>
      </c>
      <c r="AV56" s="112">
        <v>0.38</v>
      </c>
      <c r="AW56" s="112">
        <v>0.35</v>
      </c>
      <c r="AX56" s="112">
        <v>0.3</v>
      </c>
      <c r="AY56" s="112">
        <v>0.3</v>
      </c>
      <c r="AZ56" s="112">
        <v>0.3</v>
      </c>
      <c r="BA56" s="112">
        <v>0.3</v>
      </c>
      <c r="BB56" s="115">
        <v>0.3</v>
      </c>
      <c r="BC56" s="98">
        <v>-53</v>
      </c>
      <c r="BD56" s="93">
        <v>0.32900000000000001</v>
      </c>
      <c r="BE56" s="94">
        <v>0.27900000000000003</v>
      </c>
      <c r="BF56" s="94">
        <v>0.5</v>
      </c>
      <c r="BG56" s="94">
        <v>0.45</v>
      </c>
      <c r="BH56" s="94">
        <v>0.45</v>
      </c>
      <c r="BI56" s="94">
        <v>0.45</v>
      </c>
      <c r="BJ56" s="94">
        <v>0.45</v>
      </c>
      <c r="BK56" s="95">
        <v>0.45</v>
      </c>
      <c r="BL56" s="123">
        <v>-53</v>
      </c>
      <c r="BM56" s="93">
        <v>0</v>
      </c>
      <c r="BN56" s="94">
        <v>0</v>
      </c>
      <c r="BO56" s="94">
        <v>0</v>
      </c>
      <c r="BP56" s="94">
        <v>0</v>
      </c>
      <c r="BQ56" s="94">
        <v>0</v>
      </c>
      <c r="BR56" s="94">
        <v>0</v>
      </c>
      <c r="BS56" s="94">
        <v>0</v>
      </c>
      <c r="BT56" s="95">
        <v>0</v>
      </c>
      <c r="BU56" s="124">
        <v>-53</v>
      </c>
      <c r="BV56" s="120">
        <v>0</v>
      </c>
      <c r="BW56" s="121">
        <v>0</v>
      </c>
      <c r="BX56" s="121">
        <v>0</v>
      </c>
      <c r="BY56" s="121">
        <v>0</v>
      </c>
      <c r="BZ56" s="121">
        <v>0</v>
      </c>
      <c r="CA56" s="121">
        <v>0</v>
      </c>
      <c r="CB56" s="121">
        <v>0</v>
      </c>
      <c r="CC56" s="122">
        <v>0</v>
      </c>
    </row>
    <row r="57" spans="1:81" ht="14.25">
      <c r="A57" s="396"/>
      <c r="B57" s="396"/>
      <c r="C57" s="396">
        <v>46</v>
      </c>
      <c r="D57" s="396">
        <v>50</v>
      </c>
      <c r="E57" s="396"/>
      <c r="F57" s="406"/>
      <c r="G57" s="406"/>
      <c r="H57" s="406"/>
      <c r="I57" s="406"/>
      <c r="J57" s="396"/>
      <c r="K57" s="396"/>
      <c r="L57" s="396">
        <v>46</v>
      </c>
      <c r="M57" s="396">
        <v>50</v>
      </c>
      <c r="N57" s="396"/>
      <c r="O57" s="406"/>
      <c r="P57" s="406"/>
      <c r="R57" s="394">
        <f t="shared" si="0"/>
        <v>21.388888888889753</v>
      </c>
      <c r="AA57" s="89" t="str">
        <f t="shared" ref="AA57:AH57" si="28">IF(ISERROR(AA56),"NC",AA56)</f>
        <v>NC</v>
      </c>
      <c r="AB57" s="89" t="str">
        <f t="shared" si="28"/>
        <v>NC</v>
      </c>
      <c r="AC57" s="89" t="str">
        <f t="shared" si="28"/>
        <v>NC</v>
      </c>
      <c r="AD57" s="89" t="str">
        <f t="shared" si="28"/>
        <v>NC</v>
      </c>
      <c r="AE57" s="89" t="str">
        <f t="shared" si="28"/>
        <v>NC</v>
      </c>
      <c r="AF57" s="89" t="str">
        <f t="shared" si="28"/>
        <v>NC</v>
      </c>
      <c r="AG57" s="89" t="str">
        <f t="shared" si="28"/>
        <v>NC</v>
      </c>
      <c r="AH57" s="89" t="str">
        <f t="shared" si="28"/>
        <v>NC</v>
      </c>
      <c r="AI57" s="98">
        <v>-34</v>
      </c>
      <c r="AJ57" s="93">
        <v>1.1000000000000001</v>
      </c>
      <c r="AK57" s="94">
        <v>1.1000000000000001</v>
      </c>
      <c r="AL57" s="94">
        <v>1.1000000000000001</v>
      </c>
      <c r="AM57" s="94">
        <v>1.1000000000000001</v>
      </c>
      <c r="AN57" s="94">
        <v>1.1000000000000001</v>
      </c>
      <c r="AO57" s="94">
        <v>1.1000000000000001</v>
      </c>
      <c r="AP57" s="94">
        <v>1.1000000000000001</v>
      </c>
      <c r="AQ57" s="95">
        <v>1.1000000000000001</v>
      </c>
      <c r="AT57" s="98">
        <v>-52</v>
      </c>
      <c r="AU57" s="114">
        <v>0.38</v>
      </c>
      <c r="AV57" s="112">
        <v>0.38</v>
      </c>
      <c r="AW57" s="112">
        <v>0.35</v>
      </c>
      <c r="AX57" s="112">
        <v>0.3</v>
      </c>
      <c r="AY57" s="112">
        <v>0.3</v>
      </c>
      <c r="AZ57" s="112">
        <v>0.3</v>
      </c>
      <c r="BA57" s="112">
        <v>0.3</v>
      </c>
      <c r="BB57" s="115">
        <v>0.3</v>
      </c>
      <c r="BC57" s="98">
        <v>-52</v>
      </c>
      <c r="BD57" s="93">
        <v>0.33600000000000002</v>
      </c>
      <c r="BE57" s="94">
        <v>0.28600000000000003</v>
      </c>
      <c r="BF57" s="94">
        <v>0.5</v>
      </c>
      <c r="BG57" s="94">
        <v>0.45</v>
      </c>
      <c r="BH57" s="94">
        <v>0.45</v>
      </c>
      <c r="BI57" s="94">
        <v>0.45</v>
      </c>
      <c r="BJ57" s="94">
        <v>0.45</v>
      </c>
      <c r="BK57" s="95">
        <v>0.45</v>
      </c>
      <c r="BL57" s="123">
        <v>-52</v>
      </c>
      <c r="BM57" s="93">
        <v>0</v>
      </c>
      <c r="BN57" s="94">
        <v>0</v>
      </c>
      <c r="BO57" s="94">
        <v>0</v>
      </c>
      <c r="BP57" s="94">
        <v>0</v>
      </c>
      <c r="BQ57" s="94">
        <v>0</v>
      </c>
      <c r="BR57" s="94">
        <v>0</v>
      </c>
      <c r="BS57" s="94">
        <v>0</v>
      </c>
      <c r="BT57" s="95">
        <v>0</v>
      </c>
      <c r="BU57" s="124">
        <v>-52</v>
      </c>
      <c r="BV57" s="120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2">
        <v>0</v>
      </c>
    </row>
    <row r="58" spans="1:81" ht="15" thickBot="1">
      <c r="A58" s="396"/>
      <c r="B58" s="396"/>
      <c r="C58" s="396">
        <v>47</v>
      </c>
      <c r="D58" s="396">
        <v>51</v>
      </c>
      <c r="E58" s="396"/>
      <c r="F58" s="406"/>
      <c r="G58" s="406"/>
      <c r="H58" s="406"/>
      <c r="I58" s="406"/>
      <c r="J58" s="396"/>
      <c r="K58" s="396"/>
      <c r="L58" s="396">
        <v>47</v>
      </c>
      <c r="M58" s="396">
        <v>51</v>
      </c>
      <c r="N58" s="396"/>
      <c r="O58" s="406"/>
      <c r="P58" s="406"/>
      <c r="R58" s="394">
        <f t="shared" si="0"/>
        <v>21.777777777778642</v>
      </c>
      <c r="AI58" s="98">
        <v>-33</v>
      </c>
      <c r="AJ58" s="93">
        <v>1.1000000000000001</v>
      </c>
      <c r="AK58" s="94">
        <v>1.1000000000000001</v>
      </c>
      <c r="AL58" s="94">
        <v>1.1000000000000001</v>
      </c>
      <c r="AM58" s="94">
        <v>1.1000000000000001</v>
      </c>
      <c r="AN58" s="94">
        <v>1.1000000000000001</v>
      </c>
      <c r="AO58" s="94">
        <v>1.1000000000000001</v>
      </c>
      <c r="AP58" s="94">
        <v>1.1000000000000001</v>
      </c>
      <c r="AQ58" s="95">
        <v>1.1000000000000001</v>
      </c>
      <c r="AT58" s="98">
        <v>-51</v>
      </c>
      <c r="AU58" s="114">
        <v>0.38</v>
      </c>
      <c r="AV58" s="112">
        <v>0.38</v>
      </c>
      <c r="AW58" s="112">
        <v>0.35</v>
      </c>
      <c r="AX58" s="112">
        <v>0.3</v>
      </c>
      <c r="AY58" s="112">
        <v>0.3</v>
      </c>
      <c r="AZ58" s="112">
        <v>0.3</v>
      </c>
      <c r="BA58" s="112">
        <v>0.3</v>
      </c>
      <c r="BB58" s="115">
        <v>0.3</v>
      </c>
      <c r="BC58" s="98">
        <v>-51</v>
      </c>
      <c r="BD58" s="93">
        <v>0.34300000000000003</v>
      </c>
      <c r="BE58" s="94">
        <v>0.29299999999999998</v>
      </c>
      <c r="BF58" s="94">
        <v>0.5</v>
      </c>
      <c r="BG58" s="94">
        <v>0.45</v>
      </c>
      <c r="BH58" s="94">
        <v>0.45</v>
      </c>
      <c r="BI58" s="94">
        <v>0.45</v>
      </c>
      <c r="BJ58" s="94">
        <v>0.45</v>
      </c>
      <c r="BK58" s="95">
        <v>0.45</v>
      </c>
      <c r="BL58" s="123">
        <v>-51</v>
      </c>
      <c r="BM58" s="93">
        <v>0</v>
      </c>
      <c r="BN58" s="94">
        <v>0</v>
      </c>
      <c r="BO58" s="94">
        <v>0</v>
      </c>
      <c r="BP58" s="94">
        <v>0</v>
      </c>
      <c r="BQ58" s="94">
        <v>0</v>
      </c>
      <c r="BR58" s="94">
        <v>0</v>
      </c>
      <c r="BS58" s="94">
        <v>0</v>
      </c>
      <c r="BT58" s="95">
        <v>0</v>
      </c>
      <c r="BU58" s="124">
        <v>-51</v>
      </c>
      <c r="BV58" s="120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0</v>
      </c>
      <c r="CB58" s="121">
        <v>0</v>
      </c>
      <c r="CC58" s="122">
        <v>0</v>
      </c>
    </row>
    <row r="59" spans="1:81" ht="15" thickBot="1">
      <c r="A59" s="396"/>
      <c r="B59" s="396"/>
      <c r="C59" s="396">
        <v>48</v>
      </c>
      <c r="D59" s="396">
        <v>52</v>
      </c>
      <c r="E59" s="396"/>
      <c r="F59" s="406"/>
      <c r="G59" s="406"/>
      <c r="H59" s="406"/>
      <c r="I59" s="406"/>
      <c r="J59" s="396"/>
      <c r="K59" s="396"/>
      <c r="L59" s="396">
        <v>48</v>
      </c>
      <c r="M59" s="396">
        <v>52</v>
      </c>
      <c r="N59" s="396"/>
      <c r="O59" s="406"/>
      <c r="P59" s="406"/>
      <c r="R59" s="394">
        <f t="shared" si="0"/>
        <v>22.166666666667531</v>
      </c>
      <c r="Z59" s="412" t="s">
        <v>8</v>
      </c>
      <c r="AA59" s="102" t="e">
        <f>(1-(0.1/25.4)*AA57)*100</f>
        <v>#VALUE!</v>
      </c>
      <c r="AB59" s="102" t="e">
        <f>(1-(0.1/24.4)*AB57)*100</f>
        <v>#VALUE!</v>
      </c>
      <c r="AC59" s="102" t="e">
        <f>(1-(0.1/22.4)*AC57)*100</f>
        <v>#VALUE!</v>
      </c>
      <c r="AD59" s="102" t="e">
        <f>(1-(0.1/21)*AD57)*100</f>
        <v>#VALUE!</v>
      </c>
      <c r="AE59" s="102" t="e">
        <f>(1-(0.1/18)*AE57)*100</f>
        <v>#VALUE!</v>
      </c>
      <c r="AF59" s="102" t="e">
        <f>(1-(0.1/18)*AF57)*100</f>
        <v>#VALUE!</v>
      </c>
      <c r="AG59" s="102" t="e">
        <f>(1-(0.1/15.2)*AG57)*100</f>
        <v>#VALUE!</v>
      </c>
      <c r="AH59" s="103" t="e">
        <f>(1-(0.1/13.2)*AH57)*100</f>
        <v>#VALUE!</v>
      </c>
      <c r="AI59" s="104">
        <v>-32</v>
      </c>
      <c r="AJ59" s="93">
        <v>1.1000000000000001</v>
      </c>
      <c r="AK59" s="94">
        <v>1.1000000000000001</v>
      </c>
      <c r="AL59" s="94">
        <v>1.1000000000000001</v>
      </c>
      <c r="AM59" s="94">
        <v>1.1000000000000001</v>
      </c>
      <c r="AN59" s="94">
        <v>1.1000000000000001</v>
      </c>
      <c r="AO59" s="94">
        <v>1.1000000000000001</v>
      </c>
      <c r="AP59" s="94">
        <v>1.1000000000000001</v>
      </c>
      <c r="AQ59" s="95">
        <v>1.1000000000000001</v>
      </c>
      <c r="AT59" s="98">
        <v>-50</v>
      </c>
      <c r="AU59" s="114">
        <v>0.38</v>
      </c>
      <c r="AV59" s="112">
        <v>0.38</v>
      </c>
      <c r="AW59" s="112">
        <v>0.35</v>
      </c>
      <c r="AX59" s="112">
        <v>0.3</v>
      </c>
      <c r="AY59" s="112">
        <v>0.3</v>
      </c>
      <c r="AZ59" s="112">
        <v>0.3</v>
      </c>
      <c r="BA59" s="112">
        <v>0.3</v>
      </c>
      <c r="BB59" s="115">
        <v>0.3</v>
      </c>
      <c r="BC59" s="98">
        <v>-50</v>
      </c>
      <c r="BD59" s="93">
        <v>0.35</v>
      </c>
      <c r="BE59" s="94">
        <v>0.3</v>
      </c>
      <c r="BF59" s="94">
        <v>0.5</v>
      </c>
      <c r="BG59" s="94">
        <v>0.45</v>
      </c>
      <c r="BH59" s="94">
        <v>0.45</v>
      </c>
      <c r="BI59" s="94">
        <v>0.45</v>
      </c>
      <c r="BJ59" s="94">
        <v>0.45</v>
      </c>
      <c r="BK59" s="95">
        <v>0.45</v>
      </c>
      <c r="BL59" s="123">
        <v>-50</v>
      </c>
      <c r="BM59" s="93">
        <v>0</v>
      </c>
      <c r="BN59" s="94">
        <v>0</v>
      </c>
      <c r="BO59" s="94">
        <v>0</v>
      </c>
      <c r="BP59" s="94">
        <v>0</v>
      </c>
      <c r="BQ59" s="94">
        <v>0</v>
      </c>
      <c r="BR59" s="94">
        <v>0</v>
      </c>
      <c r="BS59" s="94">
        <v>0</v>
      </c>
      <c r="BT59" s="95">
        <v>0</v>
      </c>
      <c r="BU59" s="124">
        <v>-50</v>
      </c>
      <c r="BV59" s="120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2">
        <v>0</v>
      </c>
    </row>
    <row r="60" spans="1:81" ht="14.25">
      <c r="A60" s="396"/>
      <c r="B60" s="396"/>
      <c r="C60" s="396">
        <v>49</v>
      </c>
      <c r="D60" s="396">
        <v>53</v>
      </c>
      <c r="E60" s="396"/>
      <c r="F60" s="406"/>
      <c r="G60" s="406"/>
      <c r="H60" s="406"/>
      <c r="I60" s="406"/>
      <c r="J60" s="396"/>
      <c r="K60" s="396"/>
      <c r="L60" s="396">
        <v>49</v>
      </c>
      <c r="M60" s="396">
        <v>53</v>
      </c>
      <c r="N60" s="396"/>
      <c r="O60" s="406"/>
      <c r="P60" s="406"/>
      <c r="R60" s="394">
        <f t="shared" si="0"/>
        <v>22.55555555555642</v>
      </c>
      <c r="AI60" s="98">
        <v>-31</v>
      </c>
      <c r="AJ60" s="93">
        <v>1.1000000000000001</v>
      </c>
      <c r="AK60" s="94">
        <v>1.1000000000000001</v>
      </c>
      <c r="AL60" s="94">
        <v>1.1000000000000001</v>
      </c>
      <c r="AM60" s="94">
        <v>1.1000000000000001</v>
      </c>
      <c r="AN60" s="94">
        <v>1.1000000000000001</v>
      </c>
      <c r="AO60" s="94">
        <v>1.1000000000000001</v>
      </c>
      <c r="AP60" s="94">
        <v>1.1000000000000001</v>
      </c>
      <c r="AQ60" s="95">
        <v>1.1000000000000001</v>
      </c>
      <c r="AT60" s="98">
        <v>-49</v>
      </c>
      <c r="AU60" s="114">
        <v>0.38</v>
      </c>
      <c r="AV60" s="112">
        <v>0.38</v>
      </c>
      <c r="AW60" s="112">
        <v>0.35</v>
      </c>
      <c r="AX60" s="112">
        <v>0.3</v>
      </c>
      <c r="AY60" s="112">
        <v>0.3</v>
      </c>
      <c r="AZ60" s="112">
        <v>0.3</v>
      </c>
      <c r="BA60" s="112">
        <v>0.3</v>
      </c>
      <c r="BB60" s="115">
        <v>0.3</v>
      </c>
      <c r="BC60" s="98">
        <v>-49</v>
      </c>
      <c r="BD60" s="93">
        <v>0.35699999999999998</v>
      </c>
      <c r="BE60" s="94">
        <v>0.307</v>
      </c>
      <c r="BF60" s="94">
        <v>0.5</v>
      </c>
      <c r="BG60" s="94">
        <v>0.45</v>
      </c>
      <c r="BH60" s="94">
        <v>0.45</v>
      </c>
      <c r="BI60" s="94">
        <v>0.45</v>
      </c>
      <c r="BJ60" s="94">
        <v>0.45</v>
      </c>
      <c r="BK60" s="95">
        <v>0.45</v>
      </c>
      <c r="BL60" s="123">
        <v>-49</v>
      </c>
      <c r="BM60" s="93">
        <v>0</v>
      </c>
      <c r="BN60" s="94">
        <v>0</v>
      </c>
      <c r="BO60" s="94">
        <v>0</v>
      </c>
      <c r="BP60" s="94">
        <v>0</v>
      </c>
      <c r="BQ60" s="94">
        <v>0</v>
      </c>
      <c r="BR60" s="94">
        <v>0</v>
      </c>
      <c r="BS60" s="94">
        <v>0</v>
      </c>
      <c r="BT60" s="95">
        <v>0</v>
      </c>
      <c r="BU60" s="124">
        <v>-49</v>
      </c>
      <c r="BV60" s="120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2">
        <v>0</v>
      </c>
    </row>
    <row r="61" spans="1:81" ht="14.25">
      <c r="A61" s="396"/>
      <c r="B61" s="396"/>
      <c r="C61" s="396">
        <v>50</v>
      </c>
      <c r="D61" s="396">
        <v>54</v>
      </c>
      <c r="E61" s="396"/>
      <c r="F61" s="406"/>
      <c r="G61" s="406"/>
      <c r="H61" s="406"/>
      <c r="I61" s="406"/>
      <c r="J61" s="396"/>
      <c r="K61" s="396"/>
      <c r="L61" s="396">
        <v>50</v>
      </c>
      <c r="M61" s="396">
        <v>54</v>
      </c>
      <c r="N61" s="396"/>
      <c r="O61" s="406"/>
      <c r="P61" s="406"/>
      <c r="R61" s="394">
        <f t="shared" si="0"/>
        <v>22.94444444444531</v>
      </c>
      <c r="AI61" s="98">
        <v>-30</v>
      </c>
      <c r="AJ61" s="93">
        <v>1.1000000000000001</v>
      </c>
      <c r="AK61" s="94">
        <v>1.1000000000000001</v>
      </c>
      <c r="AL61" s="94">
        <v>1.1000000000000001</v>
      </c>
      <c r="AM61" s="94">
        <v>1.1000000000000001</v>
      </c>
      <c r="AN61" s="94">
        <v>1.1000000000000001</v>
      </c>
      <c r="AO61" s="94">
        <v>1.1000000000000001</v>
      </c>
      <c r="AP61" s="94">
        <v>1.1000000000000001</v>
      </c>
      <c r="AQ61" s="95">
        <v>1.1000000000000001</v>
      </c>
      <c r="AT61" s="98">
        <v>-48</v>
      </c>
      <c r="AU61" s="114">
        <v>0.38</v>
      </c>
      <c r="AV61" s="112">
        <v>0.38</v>
      </c>
      <c r="AW61" s="112">
        <v>0.35</v>
      </c>
      <c r="AX61" s="112">
        <v>0.3</v>
      </c>
      <c r="AY61" s="112">
        <v>0.3</v>
      </c>
      <c r="AZ61" s="112">
        <v>0.3</v>
      </c>
      <c r="BA61" s="112">
        <v>0.3</v>
      </c>
      <c r="BB61" s="115">
        <v>0.3</v>
      </c>
      <c r="BC61" s="98">
        <v>-48</v>
      </c>
      <c r="BD61" s="93">
        <v>0.36399999999999999</v>
      </c>
      <c r="BE61" s="94">
        <v>0.314</v>
      </c>
      <c r="BF61" s="94">
        <v>0.5</v>
      </c>
      <c r="BG61" s="94">
        <v>0.45</v>
      </c>
      <c r="BH61" s="94">
        <v>0.45</v>
      </c>
      <c r="BI61" s="94">
        <v>0.45</v>
      </c>
      <c r="BJ61" s="94">
        <v>0.45</v>
      </c>
      <c r="BK61" s="95">
        <v>0.45</v>
      </c>
      <c r="BL61" s="123">
        <v>-48</v>
      </c>
      <c r="BM61" s="93">
        <v>0</v>
      </c>
      <c r="BN61" s="94">
        <v>0</v>
      </c>
      <c r="BO61" s="94">
        <v>0</v>
      </c>
      <c r="BP61" s="94">
        <v>0</v>
      </c>
      <c r="BQ61" s="94">
        <v>0</v>
      </c>
      <c r="BR61" s="94">
        <v>0</v>
      </c>
      <c r="BS61" s="94">
        <v>0</v>
      </c>
      <c r="BT61" s="95">
        <v>0</v>
      </c>
      <c r="BU61" s="124">
        <v>-48</v>
      </c>
      <c r="BV61" s="120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2">
        <v>0</v>
      </c>
    </row>
    <row r="62" spans="1:81" ht="14.25">
      <c r="A62" s="396"/>
      <c r="B62" s="396"/>
      <c r="C62" s="396">
        <v>51</v>
      </c>
      <c r="D62" s="396">
        <v>54.8</v>
      </c>
      <c r="E62" s="396"/>
      <c r="F62" s="406"/>
      <c r="G62" s="406"/>
      <c r="H62" s="406"/>
      <c r="I62" s="406"/>
      <c r="J62" s="396"/>
      <c r="K62" s="396"/>
      <c r="L62" s="396">
        <v>51</v>
      </c>
      <c r="M62" s="396">
        <v>54.8</v>
      </c>
      <c r="N62" s="396"/>
      <c r="O62" s="406"/>
      <c r="P62" s="406"/>
      <c r="R62" s="394">
        <f t="shared" si="0"/>
        <v>23.333333333334199</v>
      </c>
      <c r="AI62" s="98">
        <v>-29</v>
      </c>
      <c r="AJ62" s="93">
        <v>1.1000000000000001</v>
      </c>
      <c r="AK62" s="94">
        <v>1.1000000000000001</v>
      </c>
      <c r="AL62" s="94">
        <v>1.1000000000000001</v>
      </c>
      <c r="AM62" s="94">
        <v>1.1000000000000001</v>
      </c>
      <c r="AN62" s="94">
        <v>1.1000000000000001</v>
      </c>
      <c r="AO62" s="94">
        <v>1.1000000000000001</v>
      </c>
      <c r="AP62" s="94">
        <v>1.1000000000000001</v>
      </c>
      <c r="AQ62" s="95">
        <v>1.1000000000000001</v>
      </c>
      <c r="AT62" s="98">
        <v>-47</v>
      </c>
      <c r="AU62" s="114">
        <v>0.38</v>
      </c>
      <c r="AV62" s="112">
        <v>0.38</v>
      </c>
      <c r="AW62" s="112">
        <v>0.35</v>
      </c>
      <c r="AX62" s="112">
        <v>0.3</v>
      </c>
      <c r="AY62" s="112">
        <v>0.3</v>
      </c>
      <c r="AZ62" s="112">
        <v>0.3</v>
      </c>
      <c r="BA62" s="112">
        <v>0.3</v>
      </c>
      <c r="BB62" s="115">
        <v>0.3</v>
      </c>
      <c r="BC62" s="98">
        <v>-47</v>
      </c>
      <c r="BD62" s="93">
        <v>0.371</v>
      </c>
      <c r="BE62" s="94">
        <v>0.32100000000000001</v>
      </c>
      <c r="BF62" s="94">
        <v>0.5</v>
      </c>
      <c r="BG62" s="94">
        <v>0.45</v>
      </c>
      <c r="BH62" s="94">
        <v>0.45</v>
      </c>
      <c r="BI62" s="94">
        <v>0.45</v>
      </c>
      <c r="BJ62" s="94">
        <v>0.45</v>
      </c>
      <c r="BK62" s="95">
        <v>0.45</v>
      </c>
      <c r="BL62" s="123">
        <v>-47</v>
      </c>
      <c r="BM62" s="93">
        <v>0</v>
      </c>
      <c r="BN62" s="94">
        <v>0</v>
      </c>
      <c r="BO62" s="94">
        <v>0</v>
      </c>
      <c r="BP62" s="94">
        <v>0</v>
      </c>
      <c r="BQ62" s="94">
        <v>0</v>
      </c>
      <c r="BR62" s="94">
        <v>0</v>
      </c>
      <c r="BS62" s="94">
        <v>0</v>
      </c>
      <c r="BT62" s="95">
        <v>0</v>
      </c>
      <c r="BU62" s="124">
        <v>-47</v>
      </c>
      <c r="BV62" s="120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2">
        <v>0</v>
      </c>
    </row>
    <row r="63" spans="1:81" ht="14.25">
      <c r="A63" s="396"/>
      <c r="B63" s="396"/>
      <c r="C63" s="396">
        <v>52</v>
      </c>
      <c r="D63" s="396">
        <v>55.6</v>
      </c>
      <c r="E63" s="396"/>
      <c r="F63" s="406"/>
      <c r="G63" s="406"/>
      <c r="H63" s="406"/>
      <c r="I63" s="406"/>
      <c r="J63" s="396"/>
      <c r="K63" s="396"/>
      <c r="L63" s="396">
        <v>52</v>
      </c>
      <c r="M63" s="396">
        <v>55.6</v>
      </c>
      <c r="N63" s="396"/>
      <c r="O63" s="406"/>
      <c r="P63" s="406"/>
      <c r="R63" s="394">
        <f t="shared" si="0"/>
        <v>23.722222222223088</v>
      </c>
      <c r="AI63" s="98">
        <v>-28</v>
      </c>
      <c r="AJ63" s="93">
        <v>1.1000000000000001</v>
      </c>
      <c r="AK63" s="94">
        <v>1.1000000000000001</v>
      </c>
      <c r="AL63" s="94">
        <v>1.1000000000000001</v>
      </c>
      <c r="AM63" s="94">
        <v>1.1000000000000001</v>
      </c>
      <c r="AN63" s="94">
        <v>1.1000000000000001</v>
      </c>
      <c r="AO63" s="94">
        <v>1.1000000000000001</v>
      </c>
      <c r="AP63" s="94">
        <v>1.1000000000000001</v>
      </c>
      <c r="AQ63" s="95">
        <v>1.1000000000000001</v>
      </c>
      <c r="AT63" s="98">
        <v>-46</v>
      </c>
      <c r="AU63" s="114">
        <v>0.38</v>
      </c>
      <c r="AV63" s="112">
        <v>0.38</v>
      </c>
      <c r="AW63" s="112">
        <v>0.35</v>
      </c>
      <c r="AX63" s="112">
        <v>0.3</v>
      </c>
      <c r="AY63" s="112">
        <v>0.3</v>
      </c>
      <c r="AZ63" s="112">
        <v>0.3</v>
      </c>
      <c r="BA63" s="112">
        <v>0.3</v>
      </c>
      <c r="BB63" s="115">
        <v>0.3</v>
      </c>
      <c r="BC63" s="98">
        <v>-46</v>
      </c>
      <c r="BD63" s="93">
        <v>0.378</v>
      </c>
      <c r="BE63" s="94">
        <v>0.32800000000000001</v>
      </c>
      <c r="BF63" s="94">
        <v>0.5</v>
      </c>
      <c r="BG63" s="94">
        <v>0.45</v>
      </c>
      <c r="BH63" s="94">
        <v>0.45</v>
      </c>
      <c r="BI63" s="94">
        <v>0.45</v>
      </c>
      <c r="BJ63" s="94">
        <v>0.45</v>
      </c>
      <c r="BK63" s="95">
        <v>0.45</v>
      </c>
      <c r="BL63" s="123">
        <v>-46</v>
      </c>
      <c r="BM63" s="93">
        <v>0</v>
      </c>
      <c r="BN63" s="94">
        <v>0</v>
      </c>
      <c r="BO63" s="94">
        <v>0</v>
      </c>
      <c r="BP63" s="94">
        <v>0</v>
      </c>
      <c r="BQ63" s="94">
        <v>0</v>
      </c>
      <c r="BR63" s="94">
        <v>0</v>
      </c>
      <c r="BS63" s="94">
        <v>0</v>
      </c>
      <c r="BT63" s="95">
        <v>0</v>
      </c>
      <c r="BU63" s="124">
        <v>-46</v>
      </c>
      <c r="BV63" s="120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2">
        <v>0</v>
      </c>
    </row>
    <row r="64" spans="1:81" ht="14.25">
      <c r="A64" s="396"/>
      <c r="B64" s="396"/>
      <c r="C64" s="396">
        <v>53</v>
      </c>
      <c r="D64" s="396">
        <v>56.4</v>
      </c>
      <c r="E64" s="396"/>
      <c r="F64" s="406"/>
      <c r="G64" s="406"/>
      <c r="H64" s="406"/>
      <c r="I64" s="406"/>
      <c r="J64" s="396"/>
      <c r="K64" s="396"/>
      <c r="L64" s="396">
        <v>53</v>
      </c>
      <c r="M64" s="396">
        <v>56.4</v>
      </c>
      <c r="N64" s="396"/>
      <c r="O64" s="406"/>
      <c r="P64" s="406"/>
      <c r="R64" s="394">
        <f t="shared" si="0"/>
        <v>24.111111111111978</v>
      </c>
      <c r="AI64" s="98">
        <v>-27</v>
      </c>
      <c r="AJ64" s="93">
        <v>1.1000000000000001</v>
      </c>
      <c r="AK64" s="94">
        <v>1.1000000000000001</v>
      </c>
      <c r="AL64" s="94">
        <v>1.1000000000000001</v>
      </c>
      <c r="AM64" s="94">
        <v>1.1000000000000001</v>
      </c>
      <c r="AN64" s="94">
        <v>1.1000000000000001</v>
      </c>
      <c r="AO64" s="94">
        <v>1.1000000000000001</v>
      </c>
      <c r="AP64" s="94">
        <v>1.1000000000000001</v>
      </c>
      <c r="AQ64" s="95">
        <v>1.1000000000000001</v>
      </c>
      <c r="AT64" s="98">
        <v>-45</v>
      </c>
      <c r="AU64" s="114">
        <v>0.38</v>
      </c>
      <c r="AV64" s="112">
        <v>0.38</v>
      </c>
      <c r="AW64" s="112">
        <v>0.35</v>
      </c>
      <c r="AX64" s="112">
        <v>0.3</v>
      </c>
      <c r="AY64" s="112">
        <v>0.3</v>
      </c>
      <c r="AZ64" s="112">
        <v>0.3</v>
      </c>
      <c r="BA64" s="112">
        <v>0.3</v>
      </c>
      <c r="BB64" s="115">
        <v>0.3</v>
      </c>
      <c r="BC64" s="98">
        <v>-45</v>
      </c>
      <c r="BD64" s="93">
        <v>0.38500000000000001</v>
      </c>
      <c r="BE64" s="94">
        <v>0.33500000000000002</v>
      </c>
      <c r="BF64" s="94">
        <v>0.5</v>
      </c>
      <c r="BG64" s="94">
        <v>0.45</v>
      </c>
      <c r="BH64" s="94">
        <v>0.45</v>
      </c>
      <c r="BI64" s="94">
        <v>0.45</v>
      </c>
      <c r="BJ64" s="94">
        <v>0.45</v>
      </c>
      <c r="BK64" s="95">
        <v>0.45</v>
      </c>
      <c r="BL64" s="123">
        <v>-45</v>
      </c>
      <c r="BM64" s="93">
        <v>0</v>
      </c>
      <c r="BN64" s="94">
        <v>0</v>
      </c>
      <c r="BO64" s="94">
        <v>0</v>
      </c>
      <c r="BP64" s="94">
        <v>0</v>
      </c>
      <c r="BQ64" s="94">
        <v>0</v>
      </c>
      <c r="BR64" s="94">
        <v>0</v>
      </c>
      <c r="BS64" s="94">
        <v>0</v>
      </c>
      <c r="BT64" s="95">
        <v>0</v>
      </c>
      <c r="BU64" s="124">
        <v>-45</v>
      </c>
      <c r="BV64" s="120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2">
        <v>0</v>
      </c>
    </row>
    <row r="65" spans="1:81" ht="14.25">
      <c r="A65" s="396"/>
      <c r="B65" s="396"/>
      <c r="C65" s="396">
        <v>54</v>
      </c>
      <c r="D65" s="396">
        <v>57.2</v>
      </c>
      <c r="E65" s="396"/>
      <c r="F65" s="406"/>
      <c r="G65" s="406"/>
      <c r="H65" s="406"/>
      <c r="I65" s="406"/>
      <c r="J65" s="396"/>
      <c r="K65" s="396"/>
      <c r="L65" s="396">
        <v>54</v>
      </c>
      <c r="M65" s="396">
        <v>57.2</v>
      </c>
      <c r="N65" s="396"/>
      <c r="O65" s="406"/>
      <c r="P65" s="406"/>
      <c r="R65" s="394">
        <f t="shared" si="0"/>
        <v>24.500000000000867</v>
      </c>
      <c r="AI65" s="98">
        <v>-26</v>
      </c>
      <c r="AJ65" s="93">
        <v>1.1000000000000001</v>
      </c>
      <c r="AK65" s="94">
        <v>1.1000000000000001</v>
      </c>
      <c r="AL65" s="94">
        <v>1.1000000000000001</v>
      </c>
      <c r="AM65" s="94">
        <v>1.1000000000000001</v>
      </c>
      <c r="AN65" s="94">
        <v>1.1000000000000001</v>
      </c>
      <c r="AO65" s="94">
        <v>1.1000000000000001</v>
      </c>
      <c r="AP65" s="94">
        <v>1.1000000000000001</v>
      </c>
      <c r="AQ65" s="95">
        <v>1.1000000000000001</v>
      </c>
      <c r="AT65" s="98">
        <v>-44</v>
      </c>
      <c r="AU65" s="114">
        <v>0.38</v>
      </c>
      <c r="AV65" s="112">
        <v>0.38</v>
      </c>
      <c r="AW65" s="112">
        <v>0.35</v>
      </c>
      <c r="AX65" s="112">
        <v>0.3</v>
      </c>
      <c r="AY65" s="112">
        <v>0.3</v>
      </c>
      <c r="AZ65" s="112">
        <v>0.3</v>
      </c>
      <c r="BA65" s="112">
        <v>0.3</v>
      </c>
      <c r="BB65" s="115">
        <v>0.3</v>
      </c>
      <c r="BC65" s="98">
        <v>-44</v>
      </c>
      <c r="BD65" s="93">
        <v>0.39200000000000002</v>
      </c>
      <c r="BE65" s="94">
        <v>0.34200000000000003</v>
      </c>
      <c r="BF65" s="94">
        <v>0.5</v>
      </c>
      <c r="BG65" s="94">
        <v>0.45</v>
      </c>
      <c r="BH65" s="94">
        <v>0.45</v>
      </c>
      <c r="BI65" s="94">
        <v>0.45</v>
      </c>
      <c r="BJ65" s="94">
        <v>0.45</v>
      </c>
      <c r="BK65" s="95">
        <v>0.45</v>
      </c>
      <c r="BL65" s="123">
        <v>-44</v>
      </c>
      <c r="BM65" s="93">
        <v>0</v>
      </c>
      <c r="BN65" s="94">
        <v>0</v>
      </c>
      <c r="BO65" s="94">
        <v>0</v>
      </c>
      <c r="BP65" s="94">
        <v>0</v>
      </c>
      <c r="BQ65" s="94">
        <v>0</v>
      </c>
      <c r="BR65" s="94">
        <v>0</v>
      </c>
      <c r="BS65" s="94">
        <v>0</v>
      </c>
      <c r="BT65" s="95">
        <v>0</v>
      </c>
      <c r="BU65" s="124">
        <v>-44</v>
      </c>
      <c r="BV65" s="120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2">
        <v>0</v>
      </c>
    </row>
    <row r="66" spans="1:81" ht="15" thickBot="1">
      <c r="A66" s="396"/>
      <c r="B66" s="396"/>
      <c r="C66" s="396">
        <v>55</v>
      </c>
      <c r="D66" s="396">
        <v>58</v>
      </c>
      <c r="E66" s="396"/>
      <c r="F66" s="406"/>
      <c r="G66" s="406"/>
      <c r="H66" s="406"/>
      <c r="I66" s="406"/>
      <c r="J66" s="396"/>
      <c r="K66" s="396"/>
      <c r="L66" s="396">
        <v>55</v>
      </c>
      <c r="M66" s="396">
        <v>58</v>
      </c>
      <c r="N66" s="396"/>
      <c r="O66" s="406"/>
      <c r="P66" s="406"/>
      <c r="R66" s="394">
        <f t="shared" ref="R66:R129" si="29">R67-(R$362*0.2/72)</f>
        <v>24.888888888889756</v>
      </c>
      <c r="AI66" s="98">
        <v>-25</v>
      </c>
      <c r="AJ66" s="93">
        <v>1.1000000000000001</v>
      </c>
      <c r="AK66" s="94">
        <v>1.1000000000000001</v>
      </c>
      <c r="AL66" s="94">
        <v>1.1000000000000001</v>
      </c>
      <c r="AM66" s="94">
        <v>1.1000000000000001</v>
      </c>
      <c r="AN66" s="94">
        <v>1.1000000000000001</v>
      </c>
      <c r="AO66" s="94">
        <v>1.1000000000000001</v>
      </c>
      <c r="AP66" s="94">
        <v>1.1000000000000001</v>
      </c>
      <c r="AQ66" s="95">
        <v>1.1000000000000001</v>
      </c>
      <c r="AT66" s="98">
        <v>-43</v>
      </c>
      <c r="AU66" s="114">
        <v>0.38</v>
      </c>
      <c r="AV66" s="112">
        <v>0.38</v>
      </c>
      <c r="AW66" s="112">
        <v>0.35</v>
      </c>
      <c r="AX66" s="112">
        <v>0.3</v>
      </c>
      <c r="AY66" s="112">
        <v>0.3</v>
      </c>
      <c r="AZ66" s="112">
        <v>0.3</v>
      </c>
      <c r="BA66" s="112">
        <v>0.3</v>
      </c>
      <c r="BB66" s="115">
        <v>0.3</v>
      </c>
      <c r="BC66" s="98">
        <v>-43</v>
      </c>
      <c r="BD66" s="93">
        <v>0.39900000000000002</v>
      </c>
      <c r="BE66" s="94">
        <v>0.34900000000000003</v>
      </c>
      <c r="BF66" s="94">
        <v>0.5</v>
      </c>
      <c r="BG66" s="94">
        <v>0.45</v>
      </c>
      <c r="BH66" s="94">
        <v>0.45</v>
      </c>
      <c r="BI66" s="94">
        <v>0.45</v>
      </c>
      <c r="BJ66" s="94">
        <v>0.45</v>
      </c>
      <c r="BK66" s="95">
        <v>0.45</v>
      </c>
      <c r="BL66" s="123">
        <v>-43</v>
      </c>
      <c r="BM66" s="93">
        <v>0</v>
      </c>
      <c r="BN66" s="94">
        <v>0</v>
      </c>
      <c r="BO66" s="94">
        <v>0</v>
      </c>
      <c r="BP66" s="94">
        <v>0</v>
      </c>
      <c r="BQ66" s="94">
        <v>0</v>
      </c>
      <c r="BR66" s="94">
        <v>0</v>
      </c>
      <c r="BS66" s="94">
        <v>0</v>
      </c>
      <c r="BT66" s="95">
        <v>0</v>
      </c>
      <c r="BU66" s="124">
        <v>-43</v>
      </c>
      <c r="BV66" s="120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2">
        <v>0</v>
      </c>
    </row>
    <row r="67" spans="1:81" ht="15" thickBot="1">
      <c r="A67" s="396"/>
      <c r="B67" s="396"/>
      <c r="C67" s="396">
        <v>56</v>
      </c>
      <c r="D67" s="396">
        <v>58.6</v>
      </c>
      <c r="E67" s="396"/>
      <c r="F67" s="406"/>
      <c r="G67" s="406"/>
      <c r="H67" s="406"/>
      <c r="I67" s="406"/>
      <c r="J67" s="396"/>
      <c r="K67" s="396"/>
      <c r="L67" s="396">
        <v>56</v>
      </c>
      <c r="M67" s="396">
        <v>58.6</v>
      </c>
      <c r="N67" s="396"/>
      <c r="O67" s="406"/>
      <c r="P67" s="406"/>
      <c r="R67" s="394">
        <f t="shared" si="29"/>
        <v>25.277777777778645</v>
      </c>
      <c r="AA67" s="128">
        <f t="shared" ref="AA67:AH67" si="30">AA70</f>
        <v>1.1100000000000001</v>
      </c>
      <c r="AB67" s="129">
        <f t="shared" si="30"/>
        <v>1.2250000000000001</v>
      </c>
      <c r="AC67" s="129">
        <f t="shared" si="30"/>
        <v>1.32</v>
      </c>
      <c r="AD67" s="129">
        <f t="shared" si="30"/>
        <v>1.42</v>
      </c>
      <c r="AE67" s="129">
        <f t="shared" si="30"/>
        <v>1.45</v>
      </c>
      <c r="AF67" s="129">
        <f t="shared" si="30"/>
        <v>1.47</v>
      </c>
      <c r="AG67" s="129">
        <f t="shared" si="30"/>
        <v>1.49</v>
      </c>
      <c r="AH67" s="130">
        <f t="shared" si="30"/>
        <v>1.54</v>
      </c>
      <c r="AI67" s="98">
        <v>-24</v>
      </c>
      <c r="AJ67" s="93">
        <v>1.1000000000000001</v>
      </c>
      <c r="AK67" s="94">
        <v>1.1000000000000001</v>
      </c>
      <c r="AL67" s="94">
        <v>1.1000000000000001</v>
      </c>
      <c r="AM67" s="94">
        <v>1.1000000000000001</v>
      </c>
      <c r="AN67" s="94">
        <v>1.1000000000000001</v>
      </c>
      <c r="AO67" s="94">
        <v>1.1000000000000001</v>
      </c>
      <c r="AP67" s="94">
        <v>1.1000000000000001</v>
      </c>
      <c r="AQ67" s="95">
        <v>1.1000000000000001</v>
      </c>
      <c r="AT67" s="98">
        <v>-42</v>
      </c>
      <c r="AU67" s="114">
        <v>0.38</v>
      </c>
      <c r="AV67" s="112">
        <v>0.38</v>
      </c>
      <c r="AW67" s="112">
        <v>0.35</v>
      </c>
      <c r="AX67" s="112">
        <v>0.3</v>
      </c>
      <c r="AY67" s="112">
        <v>0.3</v>
      </c>
      <c r="AZ67" s="112">
        <v>0.3</v>
      </c>
      <c r="BA67" s="112">
        <v>0.3</v>
      </c>
      <c r="BB67" s="115">
        <v>0.3</v>
      </c>
      <c r="BC67" s="98">
        <v>-42</v>
      </c>
      <c r="BD67" s="93">
        <v>0.40600000000000003</v>
      </c>
      <c r="BE67" s="94">
        <v>0.35599999999999998</v>
      </c>
      <c r="BF67" s="94">
        <v>0.5</v>
      </c>
      <c r="BG67" s="94">
        <v>0.45</v>
      </c>
      <c r="BH67" s="94">
        <v>0.45</v>
      </c>
      <c r="BI67" s="94">
        <v>0.45</v>
      </c>
      <c r="BJ67" s="94">
        <v>0.45</v>
      </c>
      <c r="BK67" s="95">
        <v>0.45</v>
      </c>
      <c r="BL67" s="123">
        <v>-42</v>
      </c>
      <c r="BM67" s="93">
        <v>0</v>
      </c>
      <c r="BN67" s="94">
        <v>0</v>
      </c>
      <c r="BO67" s="94">
        <v>0</v>
      </c>
      <c r="BP67" s="94">
        <v>0</v>
      </c>
      <c r="BQ67" s="94">
        <v>0</v>
      </c>
      <c r="BR67" s="94">
        <v>0</v>
      </c>
      <c r="BS67" s="94">
        <v>0</v>
      </c>
      <c r="BT67" s="95">
        <v>0</v>
      </c>
      <c r="BU67" s="124">
        <v>-42</v>
      </c>
      <c r="BV67" s="120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2">
        <v>0</v>
      </c>
    </row>
    <row r="68" spans="1:81" ht="15" thickBot="1">
      <c r="A68" s="396"/>
      <c r="B68" s="396"/>
      <c r="C68" s="396">
        <v>57</v>
      </c>
      <c r="D68" s="396">
        <v>59.2</v>
      </c>
      <c r="E68" s="396"/>
      <c r="F68" s="406"/>
      <c r="G68" s="406"/>
      <c r="H68" s="406"/>
      <c r="I68" s="406"/>
      <c r="J68" s="396"/>
      <c r="K68" s="396"/>
      <c r="L68" s="396">
        <v>57</v>
      </c>
      <c r="M68" s="396">
        <v>59.2</v>
      </c>
      <c r="N68" s="396"/>
      <c r="O68" s="406"/>
      <c r="P68" s="406"/>
      <c r="R68" s="394">
        <f t="shared" si="29"/>
        <v>25.666666666667535</v>
      </c>
      <c r="AI68" s="98">
        <v>-23</v>
      </c>
      <c r="AJ68" s="93">
        <v>1.1000000000000001</v>
      </c>
      <c r="AK68" s="94">
        <v>1.1000000000000001</v>
      </c>
      <c r="AL68" s="94">
        <v>1.1000000000000001</v>
      </c>
      <c r="AM68" s="94">
        <v>1.1000000000000001</v>
      </c>
      <c r="AN68" s="94">
        <v>1.1000000000000001</v>
      </c>
      <c r="AO68" s="94">
        <v>1.1000000000000001</v>
      </c>
      <c r="AP68" s="94">
        <v>1.1000000000000001</v>
      </c>
      <c r="AQ68" s="95">
        <v>1.1000000000000001</v>
      </c>
      <c r="AT68" s="98">
        <v>-41</v>
      </c>
      <c r="AU68" s="114">
        <v>0.38</v>
      </c>
      <c r="AV68" s="112">
        <v>0.38</v>
      </c>
      <c r="AW68" s="112">
        <v>0.35</v>
      </c>
      <c r="AX68" s="112">
        <v>0.3</v>
      </c>
      <c r="AY68" s="112">
        <v>0.3</v>
      </c>
      <c r="AZ68" s="112">
        <v>0.3</v>
      </c>
      <c r="BA68" s="112">
        <v>0.3</v>
      </c>
      <c r="BB68" s="115">
        <v>0.3</v>
      </c>
      <c r="BC68" s="98">
        <v>-41</v>
      </c>
      <c r="BD68" s="93">
        <v>0.41300000000000003</v>
      </c>
      <c r="BE68" s="94">
        <v>0.36299999999999999</v>
      </c>
      <c r="BF68" s="94">
        <v>0.5</v>
      </c>
      <c r="BG68" s="94">
        <v>0.45</v>
      </c>
      <c r="BH68" s="94">
        <v>0.45</v>
      </c>
      <c r="BI68" s="94">
        <v>0.45</v>
      </c>
      <c r="BJ68" s="94">
        <v>0.45</v>
      </c>
      <c r="BK68" s="95">
        <v>0.45</v>
      </c>
      <c r="BL68" s="123">
        <v>-41</v>
      </c>
      <c r="BM68" s="93">
        <v>0</v>
      </c>
      <c r="BN68" s="94">
        <v>0</v>
      </c>
      <c r="BO68" s="94">
        <v>0</v>
      </c>
      <c r="BP68" s="94">
        <v>0</v>
      </c>
      <c r="BQ68" s="94">
        <v>0</v>
      </c>
      <c r="BR68" s="94">
        <v>0</v>
      </c>
      <c r="BS68" s="94">
        <v>0</v>
      </c>
      <c r="BT68" s="95">
        <v>0</v>
      </c>
      <c r="BU68" s="124">
        <v>-41</v>
      </c>
      <c r="BV68" s="120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2">
        <v>0</v>
      </c>
    </row>
    <row r="69" spans="1:81" ht="15" thickBot="1">
      <c r="A69" s="396"/>
      <c r="B69" s="396"/>
      <c r="C69" s="396">
        <v>58</v>
      </c>
      <c r="D69" s="396">
        <v>59.8</v>
      </c>
      <c r="E69" s="396"/>
      <c r="F69" s="406"/>
      <c r="G69" s="406"/>
      <c r="H69" s="406"/>
      <c r="I69" s="406"/>
      <c r="J69" s="396"/>
      <c r="K69" s="396"/>
      <c r="L69" s="396">
        <v>58</v>
      </c>
      <c r="M69" s="396">
        <v>59.8</v>
      </c>
      <c r="N69" s="396"/>
      <c r="O69" s="406"/>
      <c r="P69" s="406"/>
      <c r="R69" s="394">
        <f t="shared" si="29"/>
        <v>26.055555555556424</v>
      </c>
      <c r="AA69" s="131" t="s">
        <v>175</v>
      </c>
      <c r="AB69" s="131" t="s">
        <v>176</v>
      </c>
      <c r="AC69" s="131" t="s">
        <v>177</v>
      </c>
      <c r="AD69" s="131" t="s">
        <v>178</v>
      </c>
      <c r="AE69" s="131" t="s">
        <v>179</v>
      </c>
      <c r="AF69" s="131" t="s">
        <v>180</v>
      </c>
      <c r="AG69" s="131" t="s">
        <v>181</v>
      </c>
      <c r="AH69" s="132" t="s">
        <v>182</v>
      </c>
      <c r="AI69" s="98">
        <v>-22</v>
      </c>
      <c r="AJ69" s="93">
        <v>1.1000000000000001</v>
      </c>
      <c r="AK69" s="94">
        <v>1.1000000000000001</v>
      </c>
      <c r="AL69" s="94">
        <v>1.1000000000000001</v>
      </c>
      <c r="AM69" s="94">
        <v>1.1000000000000001</v>
      </c>
      <c r="AN69" s="94">
        <v>1.1000000000000001</v>
      </c>
      <c r="AO69" s="94">
        <v>1.1000000000000001</v>
      </c>
      <c r="AP69" s="94">
        <v>1.1000000000000001</v>
      </c>
      <c r="AQ69" s="95">
        <v>1.1000000000000001</v>
      </c>
      <c r="AT69" s="98">
        <v>-40</v>
      </c>
      <c r="AU69" s="114">
        <v>0.38</v>
      </c>
      <c r="AV69" s="112">
        <v>0.38</v>
      </c>
      <c r="AW69" s="112">
        <v>0.35</v>
      </c>
      <c r="AX69" s="112">
        <v>0.3</v>
      </c>
      <c r="AY69" s="112">
        <v>0.3</v>
      </c>
      <c r="AZ69" s="112">
        <v>0.3</v>
      </c>
      <c r="BA69" s="112">
        <v>0.3</v>
      </c>
      <c r="BB69" s="115">
        <v>0.3</v>
      </c>
      <c r="BC69" s="98">
        <v>-40</v>
      </c>
      <c r="BD69" s="93">
        <v>0.42</v>
      </c>
      <c r="BE69" s="94">
        <v>0.37</v>
      </c>
      <c r="BF69" s="94">
        <v>0.5</v>
      </c>
      <c r="BG69" s="94">
        <v>0.45</v>
      </c>
      <c r="BH69" s="94">
        <v>0.45</v>
      </c>
      <c r="BI69" s="94">
        <v>0.45</v>
      </c>
      <c r="BJ69" s="94">
        <v>0.45</v>
      </c>
      <c r="BK69" s="95">
        <v>0.45</v>
      </c>
      <c r="BL69" s="123">
        <v>-40</v>
      </c>
      <c r="BM69" s="93">
        <v>0</v>
      </c>
      <c r="BN69" s="94">
        <v>0</v>
      </c>
      <c r="BO69" s="94">
        <v>0</v>
      </c>
      <c r="BP69" s="94">
        <v>0</v>
      </c>
      <c r="BQ69" s="94">
        <v>0</v>
      </c>
      <c r="BR69" s="94">
        <v>0</v>
      </c>
      <c r="BS69" s="94">
        <v>0</v>
      </c>
      <c r="BT69" s="95">
        <v>0</v>
      </c>
      <c r="BU69" s="124">
        <v>-40</v>
      </c>
      <c r="BV69" s="120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2">
        <v>0</v>
      </c>
    </row>
    <row r="70" spans="1:81" ht="14.25">
      <c r="A70" s="396"/>
      <c r="B70" s="396"/>
      <c r="C70" s="396">
        <v>59</v>
      </c>
      <c r="D70" s="396">
        <v>60.4</v>
      </c>
      <c r="E70" s="396"/>
      <c r="F70" s="406"/>
      <c r="G70" s="406"/>
      <c r="H70" s="406"/>
      <c r="I70" s="406"/>
      <c r="J70" s="396"/>
      <c r="K70" s="396"/>
      <c r="L70" s="396">
        <v>59</v>
      </c>
      <c r="M70" s="396">
        <v>60.4</v>
      </c>
      <c r="N70" s="396"/>
      <c r="O70" s="406"/>
      <c r="P70" s="406"/>
      <c r="R70" s="394">
        <f t="shared" si="29"/>
        <v>26.444444444445313</v>
      </c>
      <c r="Z70" s="133" t="s">
        <v>184</v>
      </c>
      <c r="AA70" s="134">
        <v>1.1100000000000001</v>
      </c>
      <c r="AB70" s="135">
        <v>1.2250000000000001</v>
      </c>
      <c r="AC70" s="135">
        <v>1.32</v>
      </c>
      <c r="AD70" s="135">
        <v>1.42</v>
      </c>
      <c r="AE70" s="135">
        <v>1.45</v>
      </c>
      <c r="AF70" s="135">
        <v>1.47</v>
      </c>
      <c r="AG70" s="135">
        <v>1.49</v>
      </c>
      <c r="AH70" s="136">
        <v>1.54</v>
      </c>
      <c r="AI70" s="104">
        <v>-21</v>
      </c>
      <c r="AJ70" s="93">
        <v>1.1000000000000001</v>
      </c>
      <c r="AK70" s="94">
        <v>1.1000000000000001</v>
      </c>
      <c r="AL70" s="94">
        <v>1.1000000000000001</v>
      </c>
      <c r="AM70" s="94">
        <v>1.1000000000000001</v>
      </c>
      <c r="AN70" s="94">
        <v>1.1000000000000001</v>
      </c>
      <c r="AO70" s="94">
        <v>1.1000000000000001</v>
      </c>
      <c r="AP70" s="94">
        <v>1.1000000000000001</v>
      </c>
      <c r="AQ70" s="95">
        <v>1.1000000000000001</v>
      </c>
      <c r="AT70" s="98">
        <v>-39</v>
      </c>
      <c r="AU70" s="114">
        <v>0.38</v>
      </c>
      <c r="AV70" s="112">
        <v>0.38</v>
      </c>
      <c r="AW70" s="112">
        <v>0.35</v>
      </c>
      <c r="AX70" s="112">
        <v>0.3</v>
      </c>
      <c r="AY70" s="112">
        <v>0.3</v>
      </c>
      <c r="AZ70" s="112">
        <v>0.3</v>
      </c>
      <c r="BA70" s="112">
        <v>0.3</v>
      </c>
      <c r="BB70" s="115">
        <v>0.3</v>
      </c>
      <c r="BC70" s="98">
        <v>-39</v>
      </c>
      <c r="BD70" s="93">
        <v>0.42699999999999999</v>
      </c>
      <c r="BE70" s="94">
        <v>0.377</v>
      </c>
      <c r="BF70" s="94">
        <v>0.5</v>
      </c>
      <c r="BG70" s="94">
        <v>0.45</v>
      </c>
      <c r="BH70" s="94">
        <v>0.45</v>
      </c>
      <c r="BI70" s="94">
        <v>0.45</v>
      </c>
      <c r="BJ70" s="94">
        <v>0.45</v>
      </c>
      <c r="BK70" s="95">
        <v>0.45</v>
      </c>
      <c r="BL70" s="123">
        <v>-39</v>
      </c>
      <c r="BM70" s="93">
        <v>0</v>
      </c>
      <c r="BN70" s="94">
        <v>0</v>
      </c>
      <c r="BO70" s="94">
        <v>0</v>
      </c>
      <c r="BP70" s="94">
        <v>0</v>
      </c>
      <c r="BQ70" s="94">
        <v>0</v>
      </c>
      <c r="BR70" s="94">
        <v>0</v>
      </c>
      <c r="BS70" s="94">
        <v>0</v>
      </c>
      <c r="BT70" s="95">
        <v>0</v>
      </c>
      <c r="BU70" s="124">
        <v>-39</v>
      </c>
      <c r="BV70" s="120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2">
        <v>0</v>
      </c>
    </row>
    <row r="71" spans="1:81" ht="15" thickBot="1">
      <c r="A71" s="396"/>
      <c r="B71" s="396"/>
      <c r="C71" s="396">
        <v>60</v>
      </c>
      <c r="D71" s="396">
        <v>61</v>
      </c>
      <c r="E71" s="396"/>
      <c r="F71" s="406"/>
      <c r="G71" s="406"/>
      <c r="H71" s="406"/>
      <c r="I71" s="406"/>
      <c r="J71" s="396"/>
      <c r="K71" s="396"/>
      <c r="L71" s="396">
        <v>60</v>
      </c>
      <c r="M71" s="396">
        <v>61</v>
      </c>
      <c r="N71" s="396"/>
      <c r="O71" s="406"/>
      <c r="P71" s="406"/>
      <c r="R71" s="394">
        <f t="shared" si="29"/>
        <v>26.833333333334203</v>
      </c>
      <c r="Z71" s="137" t="s">
        <v>165</v>
      </c>
      <c r="AA71" s="114">
        <f>198+AA73</f>
        <v>199</v>
      </c>
      <c r="AB71" s="112">
        <f>190.3+AB73</f>
        <v>191.3</v>
      </c>
      <c r="AC71" s="112">
        <f>180.3+AC73</f>
        <v>181.3</v>
      </c>
      <c r="AD71" s="112">
        <f>171.3+AD73</f>
        <v>172.3</v>
      </c>
      <c r="AE71" s="112">
        <f>160.7+AE73</f>
        <v>161.69999999999999</v>
      </c>
      <c r="AF71" s="112">
        <f>149.7+AF73</f>
        <v>150.69999999999999</v>
      </c>
      <c r="AG71" s="112">
        <f>139.6+AG73</f>
        <v>140.6</v>
      </c>
      <c r="AH71" s="115">
        <f>129.6+AH73</f>
        <v>130.6</v>
      </c>
      <c r="AI71" s="104">
        <v>-20</v>
      </c>
      <c r="AJ71" s="93">
        <v>1.1000000000000001</v>
      </c>
      <c r="AK71" s="94">
        <v>1.1000000000000001</v>
      </c>
      <c r="AL71" s="94">
        <v>1.1000000000000001</v>
      </c>
      <c r="AM71" s="94">
        <v>1.1000000000000001</v>
      </c>
      <c r="AN71" s="94">
        <v>1.1000000000000001</v>
      </c>
      <c r="AO71" s="94">
        <v>1.1000000000000001</v>
      </c>
      <c r="AP71" s="94">
        <v>1.1000000000000001</v>
      </c>
      <c r="AQ71" s="95">
        <v>1.1000000000000001</v>
      </c>
      <c r="AT71" s="98">
        <v>-38</v>
      </c>
      <c r="AU71" s="114">
        <v>0.38</v>
      </c>
      <c r="AV71" s="112">
        <v>0.38</v>
      </c>
      <c r="AW71" s="112">
        <v>0.35</v>
      </c>
      <c r="AX71" s="112">
        <v>0.3</v>
      </c>
      <c r="AY71" s="112">
        <v>0.3</v>
      </c>
      <c r="AZ71" s="112">
        <v>0.3</v>
      </c>
      <c r="BA71" s="112">
        <v>0.3</v>
      </c>
      <c r="BB71" s="115">
        <v>0.3</v>
      </c>
      <c r="BC71" s="98">
        <v>-38</v>
      </c>
      <c r="BD71" s="93">
        <v>0.434</v>
      </c>
      <c r="BE71" s="94">
        <v>0.38400000000000001</v>
      </c>
      <c r="BF71" s="94">
        <v>0.5</v>
      </c>
      <c r="BG71" s="94">
        <v>0.45</v>
      </c>
      <c r="BH71" s="94">
        <v>0.45</v>
      </c>
      <c r="BI71" s="94">
        <v>0.45</v>
      </c>
      <c r="BJ71" s="94">
        <v>0.45</v>
      </c>
      <c r="BK71" s="95">
        <v>0.45</v>
      </c>
      <c r="BL71" s="123">
        <v>-38</v>
      </c>
      <c r="BM71" s="93">
        <v>0</v>
      </c>
      <c r="BN71" s="94">
        <v>0</v>
      </c>
      <c r="BO71" s="94">
        <v>0</v>
      </c>
      <c r="BP71" s="94">
        <v>0</v>
      </c>
      <c r="BQ71" s="94">
        <v>0</v>
      </c>
      <c r="BR71" s="94">
        <v>0</v>
      </c>
      <c r="BS71" s="94">
        <v>0</v>
      </c>
      <c r="BT71" s="95">
        <v>0</v>
      </c>
      <c r="BU71" s="124">
        <v>-38</v>
      </c>
      <c r="BV71" s="120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2">
        <v>0</v>
      </c>
    </row>
    <row r="72" spans="1:81" ht="15" thickBot="1">
      <c r="A72" s="406"/>
      <c r="B72" s="406"/>
      <c r="C72" s="406"/>
      <c r="D72" s="406"/>
      <c r="E72" s="406"/>
      <c r="F72" s="406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R72" s="394">
        <f t="shared" si="29"/>
        <v>27.222222222223092</v>
      </c>
      <c r="AA72" s="138">
        <v>1.1000000000000001</v>
      </c>
      <c r="AB72" s="139">
        <v>1.2</v>
      </c>
      <c r="AC72" s="139">
        <v>1.3</v>
      </c>
      <c r="AD72" s="139">
        <v>1.4</v>
      </c>
      <c r="AE72" s="139">
        <v>1.42</v>
      </c>
      <c r="AF72" s="139">
        <v>1.46</v>
      </c>
      <c r="AG72" s="139">
        <v>1.49</v>
      </c>
      <c r="AH72" s="140">
        <v>1.54</v>
      </c>
      <c r="AI72" s="98">
        <v>-19</v>
      </c>
      <c r="AJ72" s="93">
        <v>1.1000000000000001</v>
      </c>
      <c r="AK72" s="94">
        <v>1.1000000000000001</v>
      </c>
      <c r="AL72" s="94">
        <v>1.1000000000000001</v>
      </c>
      <c r="AM72" s="94">
        <v>1.1000000000000001</v>
      </c>
      <c r="AN72" s="94">
        <v>1.1000000000000001</v>
      </c>
      <c r="AO72" s="94">
        <v>1.1000000000000001</v>
      </c>
      <c r="AP72" s="94">
        <v>1.1000000000000001</v>
      </c>
      <c r="AQ72" s="95">
        <v>1.1000000000000001</v>
      </c>
      <c r="AT72" s="98">
        <v>-37</v>
      </c>
      <c r="AU72" s="114">
        <v>0.38</v>
      </c>
      <c r="AV72" s="112">
        <v>0.38</v>
      </c>
      <c r="AW72" s="112">
        <v>0.35</v>
      </c>
      <c r="AX72" s="112">
        <v>0.3</v>
      </c>
      <c r="AY72" s="112">
        <v>0.3</v>
      </c>
      <c r="AZ72" s="112">
        <v>0.3</v>
      </c>
      <c r="BA72" s="112">
        <v>0.3</v>
      </c>
      <c r="BB72" s="115">
        <v>0.3</v>
      </c>
      <c r="BC72" s="98">
        <v>-37</v>
      </c>
      <c r="BD72" s="93">
        <v>0.441</v>
      </c>
      <c r="BE72" s="94">
        <v>0.39100000000000001</v>
      </c>
      <c r="BF72" s="94">
        <v>0.5</v>
      </c>
      <c r="BG72" s="94">
        <v>0.45</v>
      </c>
      <c r="BH72" s="94">
        <v>0.45</v>
      </c>
      <c r="BI72" s="94">
        <v>0.45</v>
      </c>
      <c r="BJ72" s="94">
        <v>0.45</v>
      </c>
      <c r="BK72" s="95">
        <v>0.45</v>
      </c>
      <c r="BL72" s="123">
        <v>-37</v>
      </c>
      <c r="BM72" s="93">
        <v>0</v>
      </c>
      <c r="BN72" s="94">
        <v>0</v>
      </c>
      <c r="BO72" s="94">
        <v>0</v>
      </c>
      <c r="BP72" s="94">
        <v>0</v>
      </c>
      <c r="BQ72" s="94">
        <v>0</v>
      </c>
      <c r="BR72" s="94">
        <v>0</v>
      </c>
      <c r="BS72" s="94">
        <v>0</v>
      </c>
      <c r="BT72" s="95">
        <v>0</v>
      </c>
      <c r="BU72" s="124">
        <v>-37</v>
      </c>
      <c r="BV72" s="120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2">
        <v>0</v>
      </c>
    </row>
    <row r="73" spans="1:81" ht="15" thickBot="1">
      <c r="A73" s="406"/>
      <c r="B73" s="406"/>
      <c r="C73" s="406"/>
      <c r="D73" s="406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R73" s="394">
        <f t="shared" si="29"/>
        <v>27.611111111111981</v>
      </c>
      <c r="Z73" s="88">
        <v>1</v>
      </c>
      <c r="AA73" s="128">
        <f>IF(Z73=1,1,2)</f>
        <v>1</v>
      </c>
      <c r="AB73" s="129">
        <f>IF(Z73=1,1,2)</f>
        <v>1</v>
      </c>
      <c r="AC73" s="129">
        <f t="shared" ref="AC73:AH73" si="31">IF($Z$73=1,1,2)</f>
        <v>1</v>
      </c>
      <c r="AD73" s="129">
        <f t="shared" si="31"/>
        <v>1</v>
      </c>
      <c r="AE73" s="129">
        <f t="shared" si="31"/>
        <v>1</v>
      </c>
      <c r="AF73" s="129">
        <f t="shared" si="31"/>
        <v>1</v>
      </c>
      <c r="AG73" s="129">
        <f t="shared" si="31"/>
        <v>1</v>
      </c>
      <c r="AH73" s="129">
        <f t="shared" si="31"/>
        <v>1</v>
      </c>
      <c r="AI73" s="98">
        <v>-18</v>
      </c>
      <c r="AJ73" s="93">
        <v>1.1000000000000001</v>
      </c>
      <c r="AK73" s="94">
        <v>1.1000000000000001</v>
      </c>
      <c r="AL73" s="94">
        <v>1.1000000000000001</v>
      </c>
      <c r="AM73" s="94">
        <v>1.1000000000000001</v>
      </c>
      <c r="AN73" s="94">
        <v>1.1000000000000001</v>
      </c>
      <c r="AO73" s="94">
        <v>1.1000000000000001</v>
      </c>
      <c r="AP73" s="94">
        <v>1.1000000000000001</v>
      </c>
      <c r="AQ73" s="95">
        <v>1.1000000000000001</v>
      </c>
      <c r="AT73" s="98">
        <v>-36</v>
      </c>
      <c r="AU73" s="114">
        <v>0.38</v>
      </c>
      <c r="AV73" s="112">
        <v>0.38</v>
      </c>
      <c r="AW73" s="112">
        <v>0.35</v>
      </c>
      <c r="AX73" s="112">
        <v>0.3</v>
      </c>
      <c r="AY73" s="112">
        <v>0.3</v>
      </c>
      <c r="AZ73" s="112">
        <v>0.3</v>
      </c>
      <c r="BA73" s="112">
        <v>0.3</v>
      </c>
      <c r="BB73" s="115">
        <v>0.3</v>
      </c>
      <c r="BC73" s="98">
        <v>-36</v>
      </c>
      <c r="BD73" s="93">
        <v>0.44800000000000001</v>
      </c>
      <c r="BE73" s="94">
        <v>0.39800000000000002</v>
      </c>
      <c r="BF73" s="94">
        <v>0.5</v>
      </c>
      <c r="BG73" s="94">
        <v>0.45</v>
      </c>
      <c r="BH73" s="94">
        <v>0.45</v>
      </c>
      <c r="BI73" s="94">
        <v>0.45</v>
      </c>
      <c r="BJ73" s="94">
        <v>0.45</v>
      </c>
      <c r="BK73" s="95">
        <v>0.45</v>
      </c>
      <c r="BL73" s="123">
        <v>-36</v>
      </c>
      <c r="BM73" s="93">
        <v>0</v>
      </c>
      <c r="BN73" s="94">
        <v>0</v>
      </c>
      <c r="BO73" s="94">
        <v>0</v>
      </c>
      <c r="BP73" s="94">
        <v>0</v>
      </c>
      <c r="BQ73" s="94">
        <v>0</v>
      </c>
      <c r="BR73" s="94">
        <v>0</v>
      </c>
      <c r="BS73" s="94">
        <v>0</v>
      </c>
      <c r="BT73" s="95">
        <v>0</v>
      </c>
      <c r="BU73" s="124">
        <v>-36</v>
      </c>
      <c r="BV73" s="120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2">
        <v>0</v>
      </c>
    </row>
    <row r="74" spans="1:81" ht="14.25">
      <c r="A74" s="406"/>
      <c r="B74" s="406"/>
      <c r="C74" s="406"/>
      <c r="D74" s="406"/>
      <c r="E74" s="406"/>
      <c r="F74" s="406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R74" s="394">
        <f t="shared" si="29"/>
        <v>28.00000000000087</v>
      </c>
      <c r="AI74" s="98">
        <v>-17</v>
      </c>
      <c r="AJ74" s="93">
        <v>1.1000000000000001</v>
      </c>
      <c r="AK74" s="94">
        <v>1.1000000000000001</v>
      </c>
      <c r="AL74" s="94">
        <v>1.1000000000000001</v>
      </c>
      <c r="AM74" s="94">
        <v>1.1000000000000001</v>
      </c>
      <c r="AN74" s="94">
        <v>1.1000000000000001</v>
      </c>
      <c r="AO74" s="94">
        <v>1.1000000000000001</v>
      </c>
      <c r="AP74" s="94">
        <v>1.1000000000000001</v>
      </c>
      <c r="AQ74" s="95">
        <v>1.1000000000000001</v>
      </c>
      <c r="AT74" s="98">
        <v>-35</v>
      </c>
      <c r="AU74" s="114">
        <v>0.38</v>
      </c>
      <c r="AV74" s="112">
        <v>0.38</v>
      </c>
      <c r="AW74" s="112">
        <v>0.35</v>
      </c>
      <c r="AX74" s="112">
        <v>0.3</v>
      </c>
      <c r="AY74" s="112">
        <v>0.3</v>
      </c>
      <c r="AZ74" s="112">
        <v>0.3</v>
      </c>
      <c r="BA74" s="112">
        <v>0.3</v>
      </c>
      <c r="BB74" s="115">
        <v>0.3</v>
      </c>
      <c r="BC74" s="98">
        <v>-35</v>
      </c>
      <c r="BD74" s="93">
        <v>0.45500000000000002</v>
      </c>
      <c r="BE74" s="94">
        <v>0.40500000000000003</v>
      </c>
      <c r="BF74" s="94">
        <v>0.5</v>
      </c>
      <c r="BG74" s="94">
        <v>0.45</v>
      </c>
      <c r="BH74" s="94">
        <v>0.45</v>
      </c>
      <c r="BI74" s="94">
        <v>0.45</v>
      </c>
      <c r="BJ74" s="94">
        <v>0.45</v>
      </c>
      <c r="BK74" s="95">
        <v>0.45</v>
      </c>
      <c r="BL74" s="123">
        <v>-35</v>
      </c>
      <c r="BM74" s="93">
        <v>0</v>
      </c>
      <c r="BN74" s="94">
        <v>0</v>
      </c>
      <c r="BO74" s="94">
        <v>0</v>
      </c>
      <c r="BP74" s="94">
        <v>0</v>
      </c>
      <c r="BQ74" s="94">
        <v>0</v>
      </c>
      <c r="BR74" s="94">
        <v>0</v>
      </c>
      <c r="BS74" s="94">
        <v>0</v>
      </c>
      <c r="BT74" s="95">
        <v>0</v>
      </c>
      <c r="BU74" s="124">
        <v>-35</v>
      </c>
      <c r="BV74" s="120">
        <v>0</v>
      </c>
      <c r="BW74" s="121">
        <v>0</v>
      </c>
      <c r="BX74" s="121">
        <v>0</v>
      </c>
      <c r="BY74" s="121">
        <v>0</v>
      </c>
      <c r="BZ74" s="121">
        <v>0</v>
      </c>
      <c r="CA74" s="121">
        <v>0</v>
      </c>
      <c r="CB74" s="121">
        <v>0</v>
      </c>
      <c r="CC74" s="122">
        <v>0</v>
      </c>
    </row>
    <row r="75" spans="1:81" ht="14.25">
      <c r="A75" s="406"/>
      <c r="B75" s="406"/>
      <c r="C75" s="406"/>
      <c r="D75" s="406"/>
      <c r="E75" s="406"/>
      <c r="F75" s="406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R75" s="394">
        <f t="shared" si="29"/>
        <v>28.38888888888976</v>
      </c>
      <c r="AI75" s="98">
        <v>-16</v>
      </c>
      <c r="AJ75" s="93">
        <v>1.1000000000000001</v>
      </c>
      <c r="AK75" s="94">
        <v>1.1000000000000001</v>
      </c>
      <c r="AL75" s="94">
        <v>1.1000000000000001</v>
      </c>
      <c r="AM75" s="94">
        <v>1.1000000000000001</v>
      </c>
      <c r="AN75" s="94">
        <v>1.1000000000000001</v>
      </c>
      <c r="AO75" s="94">
        <v>1.1000000000000001</v>
      </c>
      <c r="AP75" s="94">
        <v>1.1000000000000001</v>
      </c>
      <c r="AQ75" s="95">
        <v>1.1000000000000001</v>
      </c>
      <c r="AT75" s="98">
        <v>-34</v>
      </c>
      <c r="AU75" s="114">
        <v>0.38</v>
      </c>
      <c r="AV75" s="112">
        <v>0.38</v>
      </c>
      <c r="AW75" s="112">
        <v>0.35</v>
      </c>
      <c r="AX75" s="112">
        <v>0.3</v>
      </c>
      <c r="AY75" s="112">
        <v>0.3</v>
      </c>
      <c r="AZ75" s="112">
        <v>0.3</v>
      </c>
      <c r="BA75" s="112">
        <v>0.3</v>
      </c>
      <c r="BB75" s="115">
        <v>0.3</v>
      </c>
      <c r="BC75" s="98">
        <v>-34</v>
      </c>
      <c r="BD75" s="93">
        <v>0.46200000000000002</v>
      </c>
      <c r="BE75" s="94">
        <v>0.41200000000000003</v>
      </c>
      <c r="BF75" s="94">
        <v>0.5</v>
      </c>
      <c r="BG75" s="94">
        <v>0.45</v>
      </c>
      <c r="BH75" s="94">
        <v>0.45</v>
      </c>
      <c r="BI75" s="94">
        <v>0.45</v>
      </c>
      <c r="BJ75" s="94">
        <v>0.45</v>
      </c>
      <c r="BK75" s="95">
        <v>0.45</v>
      </c>
      <c r="BL75" s="123">
        <v>-34</v>
      </c>
      <c r="BM75" s="93">
        <v>0</v>
      </c>
      <c r="BN75" s="94">
        <v>0</v>
      </c>
      <c r="BO75" s="94">
        <v>0</v>
      </c>
      <c r="BP75" s="94">
        <v>0</v>
      </c>
      <c r="BQ75" s="94">
        <v>0</v>
      </c>
      <c r="BR75" s="94">
        <v>0</v>
      </c>
      <c r="BS75" s="94">
        <v>0</v>
      </c>
      <c r="BT75" s="95">
        <v>0</v>
      </c>
      <c r="BU75" s="124">
        <v>-34</v>
      </c>
      <c r="BV75" s="120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0</v>
      </c>
      <c r="CB75" s="121">
        <v>0</v>
      </c>
      <c r="CC75" s="122">
        <v>0</v>
      </c>
    </row>
    <row r="76" spans="1:81" ht="14.25">
      <c r="A76" s="413"/>
      <c r="B76" s="413"/>
      <c r="C76" s="414"/>
      <c r="D76" s="413"/>
      <c r="E76" s="413"/>
      <c r="F76" s="413"/>
      <c r="G76" s="414"/>
      <c r="H76" s="414"/>
      <c r="I76" s="415"/>
      <c r="J76" s="413"/>
      <c r="K76" s="415"/>
      <c r="L76" s="416"/>
      <c r="M76" s="414"/>
      <c r="R76" s="394">
        <f t="shared" si="29"/>
        <v>28.777777777778649</v>
      </c>
      <c r="AI76" s="98">
        <v>-15</v>
      </c>
      <c r="AJ76" s="93">
        <v>1.1000000000000001</v>
      </c>
      <c r="AK76" s="94">
        <v>1.1000000000000001</v>
      </c>
      <c r="AL76" s="94">
        <v>1.1000000000000001</v>
      </c>
      <c r="AM76" s="94">
        <v>1.1000000000000001</v>
      </c>
      <c r="AN76" s="94">
        <v>1.1000000000000001</v>
      </c>
      <c r="AO76" s="94">
        <v>1.1000000000000001</v>
      </c>
      <c r="AP76" s="94">
        <v>1.1000000000000001</v>
      </c>
      <c r="AQ76" s="95">
        <v>1.1000000000000001</v>
      </c>
      <c r="AT76" s="98">
        <v>-33</v>
      </c>
      <c r="AU76" s="114">
        <v>0.38</v>
      </c>
      <c r="AV76" s="112">
        <v>0.38</v>
      </c>
      <c r="AW76" s="112">
        <v>0.35</v>
      </c>
      <c r="AX76" s="112">
        <v>0.3</v>
      </c>
      <c r="AY76" s="112">
        <v>0.3</v>
      </c>
      <c r="AZ76" s="112">
        <v>0.3</v>
      </c>
      <c r="BA76" s="112">
        <v>0.3</v>
      </c>
      <c r="BB76" s="115">
        <v>0.3</v>
      </c>
      <c r="BC76" s="98">
        <v>-33</v>
      </c>
      <c r="BD76" s="93">
        <v>0.46900000000000003</v>
      </c>
      <c r="BE76" s="94">
        <v>0.41899999999999998</v>
      </c>
      <c r="BF76" s="94">
        <v>0.5</v>
      </c>
      <c r="BG76" s="94">
        <v>0.45</v>
      </c>
      <c r="BH76" s="94">
        <v>0.45</v>
      </c>
      <c r="BI76" s="94">
        <v>0.45</v>
      </c>
      <c r="BJ76" s="94">
        <v>0.45</v>
      </c>
      <c r="BK76" s="95">
        <v>0.45</v>
      </c>
      <c r="BL76" s="123">
        <v>-33</v>
      </c>
      <c r="BM76" s="93">
        <v>0</v>
      </c>
      <c r="BN76" s="94">
        <v>0</v>
      </c>
      <c r="BO76" s="94">
        <v>0</v>
      </c>
      <c r="BP76" s="94">
        <v>0</v>
      </c>
      <c r="BQ76" s="94">
        <v>0</v>
      </c>
      <c r="BR76" s="94">
        <v>0</v>
      </c>
      <c r="BS76" s="94">
        <v>0</v>
      </c>
      <c r="BT76" s="95">
        <v>0</v>
      </c>
      <c r="BU76" s="124">
        <v>-33</v>
      </c>
      <c r="BV76" s="120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2">
        <v>0</v>
      </c>
    </row>
    <row r="77" spans="1:81" ht="14.25">
      <c r="A77" s="413"/>
      <c r="B77" s="413"/>
      <c r="C77" s="414"/>
      <c r="D77" s="413"/>
      <c r="E77" s="413"/>
      <c r="F77" s="413"/>
      <c r="G77" s="414"/>
      <c r="H77" s="414"/>
      <c r="I77" s="415"/>
      <c r="J77" s="413"/>
      <c r="K77" s="415"/>
      <c r="L77" s="416"/>
      <c r="M77" s="414"/>
      <c r="R77" s="394">
        <f t="shared" si="29"/>
        <v>29.166666666667538</v>
      </c>
      <c r="AI77" s="98">
        <v>-14</v>
      </c>
      <c r="AJ77" s="93">
        <v>1.1000000000000001</v>
      </c>
      <c r="AK77" s="94">
        <v>1.1000000000000001</v>
      </c>
      <c r="AL77" s="94">
        <v>1.1000000000000001</v>
      </c>
      <c r="AM77" s="94">
        <v>1.1000000000000001</v>
      </c>
      <c r="AN77" s="94">
        <v>1.1000000000000001</v>
      </c>
      <c r="AO77" s="94">
        <v>1.1000000000000001</v>
      </c>
      <c r="AP77" s="94">
        <v>1.1000000000000001</v>
      </c>
      <c r="AQ77" s="95">
        <v>1.1000000000000001</v>
      </c>
      <c r="AT77" s="98">
        <v>-32</v>
      </c>
      <c r="AU77" s="114">
        <v>0.38</v>
      </c>
      <c r="AV77" s="112">
        <v>0.38</v>
      </c>
      <c r="AW77" s="112">
        <v>0.35</v>
      </c>
      <c r="AX77" s="112">
        <v>0.3</v>
      </c>
      <c r="AY77" s="112">
        <v>0.3</v>
      </c>
      <c r="AZ77" s="112">
        <v>0.3</v>
      </c>
      <c r="BA77" s="112">
        <v>0.3</v>
      </c>
      <c r="BB77" s="115">
        <v>0.3</v>
      </c>
      <c r="BC77" s="98">
        <v>-32</v>
      </c>
      <c r="BD77" s="93">
        <v>0.47600000000000003</v>
      </c>
      <c r="BE77" s="94">
        <v>0.42599999999999999</v>
      </c>
      <c r="BF77" s="94">
        <v>0.5</v>
      </c>
      <c r="BG77" s="94">
        <v>0.45</v>
      </c>
      <c r="BH77" s="94">
        <v>0.45</v>
      </c>
      <c r="BI77" s="94">
        <v>0.45</v>
      </c>
      <c r="BJ77" s="94">
        <v>0.45</v>
      </c>
      <c r="BK77" s="95">
        <v>0.45</v>
      </c>
      <c r="BL77" s="123">
        <v>-32</v>
      </c>
      <c r="BM77" s="93">
        <v>0</v>
      </c>
      <c r="BN77" s="94">
        <v>0</v>
      </c>
      <c r="BO77" s="94">
        <v>0</v>
      </c>
      <c r="BP77" s="94">
        <v>0</v>
      </c>
      <c r="BQ77" s="94">
        <v>0</v>
      </c>
      <c r="BR77" s="94">
        <v>0</v>
      </c>
      <c r="BS77" s="94">
        <v>0</v>
      </c>
      <c r="BT77" s="95">
        <v>0</v>
      </c>
      <c r="BU77" s="124">
        <v>-32</v>
      </c>
      <c r="BV77" s="120">
        <v>0</v>
      </c>
      <c r="BW77" s="121">
        <v>0</v>
      </c>
      <c r="BX77" s="121">
        <v>0</v>
      </c>
      <c r="BY77" s="121">
        <v>0</v>
      </c>
      <c r="BZ77" s="121">
        <v>0</v>
      </c>
      <c r="CA77" s="121">
        <v>0</v>
      </c>
      <c r="CB77" s="121">
        <v>0</v>
      </c>
      <c r="CC77" s="122">
        <v>0</v>
      </c>
    </row>
    <row r="78" spans="1:81" ht="14.25">
      <c r="A78" s="413"/>
      <c r="B78" s="413"/>
      <c r="C78" s="414"/>
      <c r="D78" s="413"/>
      <c r="E78" s="413"/>
      <c r="F78" s="413"/>
      <c r="G78" s="414"/>
      <c r="H78" s="414"/>
      <c r="I78" s="415"/>
      <c r="J78" s="413"/>
      <c r="K78" s="415"/>
      <c r="L78" s="416"/>
      <c r="M78" s="414"/>
      <c r="R78" s="394">
        <f t="shared" si="29"/>
        <v>29.555555555556428</v>
      </c>
      <c r="AI78" s="98">
        <v>-13</v>
      </c>
      <c r="AJ78" s="93">
        <v>1.1000000000000001</v>
      </c>
      <c r="AK78" s="94">
        <v>1.1000000000000001</v>
      </c>
      <c r="AL78" s="94">
        <v>1.1000000000000001</v>
      </c>
      <c r="AM78" s="94">
        <v>1.1000000000000001</v>
      </c>
      <c r="AN78" s="94">
        <v>1.1000000000000001</v>
      </c>
      <c r="AO78" s="94">
        <v>1.1000000000000001</v>
      </c>
      <c r="AP78" s="94">
        <v>1.1000000000000001</v>
      </c>
      <c r="AQ78" s="95">
        <v>1.1000000000000001</v>
      </c>
      <c r="AT78" s="98">
        <v>-31</v>
      </c>
      <c r="AU78" s="114">
        <v>0.38</v>
      </c>
      <c r="AV78" s="112">
        <v>0.38</v>
      </c>
      <c r="AW78" s="112">
        <v>0.35</v>
      </c>
      <c r="AX78" s="112">
        <v>0.3</v>
      </c>
      <c r="AY78" s="112">
        <v>0.3</v>
      </c>
      <c r="AZ78" s="112">
        <v>0.3</v>
      </c>
      <c r="BA78" s="112">
        <v>0.3</v>
      </c>
      <c r="BB78" s="115">
        <v>0.3</v>
      </c>
      <c r="BC78" s="98">
        <v>-31</v>
      </c>
      <c r="BD78" s="93">
        <v>0.48299999999999998</v>
      </c>
      <c r="BE78" s="94">
        <v>0.433</v>
      </c>
      <c r="BF78" s="94">
        <v>0.5</v>
      </c>
      <c r="BG78" s="94">
        <v>0.45</v>
      </c>
      <c r="BH78" s="94">
        <v>0.45</v>
      </c>
      <c r="BI78" s="94">
        <v>0.45</v>
      </c>
      <c r="BJ78" s="94">
        <v>0.45</v>
      </c>
      <c r="BK78" s="95">
        <v>0.45</v>
      </c>
      <c r="BL78" s="123">
        <v>-31</v>
      </c>
      <c r="BM78" s="93">
        <v>0</v>
      </c>
      <c r="BN78" s="94">
        <v>0</v>
      </c>
      <c r="BO78" s="94">
        <v>0</v>
      </c>
      <c r="BP78" s="94">
        <v>0</v>
      </c>
      <c r="BQ78" s="94">
        <v>0</v>
      </c>
      <c r="BR78" s="94">
        <v>0</v>
      </c>
      <c r="BS78" s="94">
        <v>0</v>
      </c>
      <c r="BT78" s="95">
        <v>0</v>
      </c>
      <c r="BU78" s="124">
        <v>-31</v>
      </c>
      <c r="BV78" s="120">
        <v>0</v>
      </c>
      <c r="BW78" s="121">
        <v>0</v>
      </c>
      <c r="BX78" s="121">
        <v>0</v>
      </c>
      <c r="BY78" s="121">
        <v>0</v>
      </c>
      <c r="BZ78" s="121">
        <v>0</v>
      </c>
      <c r="CA78" s="121">
        <v>0</v>
      </c>
      <c r="CB78" s="121">
        <v>0</v>
      </c>
      <c r="CC78" s="122">
        <v>0</v>
      </c>
    </row>
    <row r="79" spans="1:81" ht="15" thickBot="1">
      <c r="A79" s="413"/>
      <c r="B79" s="413"/>
      <c r="C79" s="414"/>
      <c r="D79" s="413"/>
      <c r="E79" s="413"/>
      <c r="F79" s="413"/>
      <c r="G79" s="414"/>
      <c r="H79" s="414"/>
      <c r="I79" s="415"/>
      <c r="J79" s="413"/>
      <c r="K79" s="415"/>
      <c r="L79" s="416"/>
      <c r="M79" s="414"/>
      <c r="R79" s="394">
        <f t="shared" si="29"/>
        <v>29.944444444445317</v>
      </c>
      <c r="AI79" s="98">
        <v>-12</v>
      </c>
      <c r="AJ79" s="93">
        <v>1.1000000000000001</v>
      </c>
      <c r="AK79" s="94">
        <v>1.1000000000000001</v>
      </c>
      <c r="AL79" s="94">
        <v>1.1000000000000001</v>
      </c>
      <c r="AM79" s="94">
        <v>1.1000000000000001</v>
      </c>
      <c r="AN79" s="94">
        <v>1.1000000000000001</v>
      </c>
      <c r="AO79" s="94">
        <v>1.1000000000000001</v>
      </c>
      <c r="AP79" s="94">
        <v>1.1000000000000001</v>
      </c>
      <c r="AQ79" s="95">
        <v>1.1000000000000001</v>
      </c>
      <c r="AT79" s="98">
        <v>-30</v>
      </c>
      <c r="AU79" s="114">
        <v>0.38</v>
      </c>
      <c r="AV79" s="112">
        <v>0.38</v>
      </c>
      <c r="AW79" s="112">
        <v>0.35</v>
      </c>
      <c r="AX79" s="112">
        <v>0.3</v>
      </c>
      <c r="AY79" s="112">
        <v>0.3</v>
      </c>
      <c r="AZ79" s="112">
        <v>0.3</v>
      </c>
      <c r="BA79" s="112">
        <v>0.3</v>
      </c>
      <c r="BB79" s="115">
        <v>0.3</v>
      </c>
      <c r="BC79" s="98">
        <v>-30</v>
      </c>
      <c r="BD79" s="93">
        <v>0.49</v>
      </c>
      <c r="BE79" s="94">
        <v>0.44</v>
      </c>
      <c r="BF79" s="94">
        <v>0.5</v>
      </c>
      <c r="BG79" s="94">
        <v>0.45</v>
      </c>
      <c r="BH79" s="94">
        <v>0.45</v>
      </c>
      <c r="BI79" s="94">
        <v>0.45</v>
      </c>
      <c r="BJ79" s="94">
        <v>0.45</v>
      </c>
      <c r="BK79" s="95">
        <v>0.45</v>
      </c>
      <c r="BL79" s="123">
        <v>-30</v>
      </c>
      <c r="BM79" s="93">
        <v>0</v>
      </c>
      <c r="BN79" s="94">
        <v>0</v>
      </c>
      <c r="BO79" s="94">
        <v>0</v>
      </c>
      <c r="BP79" s="94">
        <v>0</v>
      </c>
      <c r="BQ79" s="94">
        <v>0</v>
      </c>
      <c r="BR79" s="94">
        <v>0</v>
      </c>
      <c r="BS79" s="94">
        <v>0</v>
      </c>
      <c r="BT79" s="95">
        <v>0</v>
      </c>
      <c r="BU79" s="124">
        <v>-30</v>
      </c>
      <c r="BV79" s="120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0</v>
      </c>
      <c r="CC79" s="122">
        <v>0</v>
      </c>
    </row>
    <row r="80" spans="1:81" ht="15" thickBot="1">
      <c r="A80" s="413"/>
      <c r="B80" s="413"/>
      <c r="C80" s="414"/>
      <c r="D80" s="413"/>
      <c r="E80" s="413"/>
      <c r="F80" s="413"/>
      <c r="G80" s="414"/>
      <c r="H80" s="414"/>
      <c r="I80" s="415"/>
      <c r="J80" s="413"/>
      <c r="K80" s="415"/>
      <c r="L80" s="416"/>
      <c r="M80" s="414"/>
      <c r="R80" s="394">
        <f t="shared" si="29"/>
        <v>30.333333333334206</v>
      </c>
      <c r="AA80" s="417" t="s">
        <v>175</v>
      </c>
      <c r="AB80" s="141" t="s">
        <v>176</v>
      </c>
      <c r="AC80" s="141" t="s">
        <v>177</v>
      </c>
      <c r="AD80" s="141" t="s">
        <v>178</v>
      </c>
      <c r="AE80" s="141" t="s">
        <v>179</v>
      </c>
      <c r="AF80" s="141" t="s">
        <v>180</v>
      </c>
      <c r="AG80" s="141" t="s">
        <v>181</v>
      </c>
      <c r="AH80" s="142" t="s">
        <v>182</v>
      </c>
      <c r="AI80" s="104">
        <v>-11</v>
      </c>
      <c r="AJ80" s="93">
        <v>1.05</v>
      </c>
      <c r="AK80" s="94">
        <v>1.05</v>
      </c>
      <c r="AL80" s="94">
        <v>1.05</v>
      </c>
      <c r="AM80" s="94">
        <v>1.05</v>
      </c>
      <c r="AN80" s="94">
        <v>1.05</v>
      </c>
      <c r="AO80" s="94">
        <v>1.05</v>
      </c>
      <c r="AP80" s="94">
        <v>1.05</v>
      </c>
      <c r="AQ80" s="95">
        <v>1.05</v>
      </c>
      <c r="AT80" s="98">
        <v>-29</v>
      </c>
      <c r="AU80" s="114">
        <v>0.38</v>
      </c>
      <c r="AV80" s="112">
        <v>0.38</v>
      </c>
      <c r="AW80" s="112">
        <v>0.35</v>
      </c>
      <c r="AX80" s="112">
        <v>0.3</v>
      </c>
      <c r="AY80" s="112">
        <v>0.3</v>
      </c>
      <c r="AZ80" s="112">
        <v>0.3</v>
      </c>
      <c r="BA80" s="112">
        <v>0.3</v>
      </c>
      <c r="BB80" s="115">
        <v>0.3</v>
      </c>
      <c r="BC80" s="98">
        <v>-29</v>
      </c>
      <c r="BD80" s="93">
        <v>0.497</v>
      </c>
      <c r="BE80" s="94">
        <v>0.44700000000000001</v>
      </c>
      <c r="BF80" s="94">
        <v>0.5</v>
      </c>
      <c r="BG80" s="94">
        <v>0.45</v>
      </c>
      <c r="BH80" s="94">
        <v>0.45</v>
      </c>
      <c r="BI80" s="94">
        <v>0.45</v>
      </c>
      <c r="BJ80" s="94">
        <v>0.45</v>
      </c>
      <c r="BK80" s="95">
        <v>0.45</v>
      </c>
      <c r="BL80" s="123">
        <v>-29</v>
      </c>
      <c r="BM80" s="93">
        <v>0</v>
      </c>
      <c r="BN80" s="94">
        <v>0</v>
      </c>
      <c r="BO80" s="94">
        <v>0</v>
      </c>
      <c r="BP80" s="94">
        <v>0</v>
      </c>
      <c r="BQ80" s="94">
        <v>0</v>
      </c>
      <c r="BR80" s="94">
        <v>0</v>
      </c>
      <c r="BS80" s="94">
        <v>0</v>
      </c>
      <c r="BT80" s="95">
        <v>0</v>
      </c>
      <c r="BU80" s="124">
        <v>-29</v>
      </c>
      <c r="BV80" s="120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0</v>
      </c>
      <c r="CC80" s="122">
        <v>0</v>
      </c>
    </row>
    <row r="81" spans="1:81" ht="15" thickBot="1">
      <c r="A81" s="413"/>
      <c r="B81" s="413"/>
      <c r="C81" s="414"/>
      <c r="D81" s="413"/>
      <c r="E81" s="413"/>
      <c r="F81" s="413"/>
      <c r="G81" s="414"/>
      <c r="H81" s="414"/>
      <c r="I81" s="415"/>
      <c r="J81" s="413"/>
      <c r="K81" s="415"/>
      <c r="L81" s="416"/>
      <c r="M81" s="414"/>
      <c r="R81" s="394">
        <f t="shared" si="29"/>
        <v>30.722222222223095</v>
      </c>
      <c r="Z81" s="418" t="s">
        <v>15</v>
      </c>
      <c r="AA81" s="419">
        <f t="shared" ref="AA81:AH81" si="32">AA5</f>
        <v>0.12</v>
      </c>
      <c r="AB81" s="109">
        <f t="shared" si="32"/>
        <v>0.14000000000000001</v>
      </c>
      <c r="AC81" s="109">
        <f t="shared" si="32"/>
        <v>0.15</v>
      </c>
      <c r="AD81" s="109">
        <f t="shared" si="32"/>
        <v>0.16</v>
      </c>
      <c r="AE81" s="109" t="e">
        <f t="shared" si="32"/>
        <v>#N/A</v>
      </c>
      <c r="AF81" s="109" t="e">
        <f t="shared" si="32"/>
        <v>#N/A</v>
      </c>
      <c r="AG81" s="109" t="e">
        <f t="shared" si="32"/>
        <v>#N/A</v>
      </c>
      <c r="AH81" s="110" t="e">
        <f t="shared" si="32"/>
        <v>#N/A</v>
      </c>
      <c r="AI81" s="104">
        <v>-10</v>
      </c>
      <c r="AJ81" s="93">
        <v>1.05</v>
      </c>
      <c r="AK81" s="94">
        <v>1.05</v>
      </c>
      <c r="AL81" s="94">
        <v>1.05</v>
      </c>
      <c r="AM81" s="94">
        <v>1.05</v>
      </c>
      <c r="AN81" s="94">
        <v>1.05</v>
      </c>
      <c r="AO81" s="94">
        <v>1.05</v>
      </c>
      <c r="AP81" s="94">
        <v>1.05</v>
      </c>
      <c r="AQ81" s="95">
        <v>1.05</v>
      </c>
      <c r="AT81" s="98">
        <v>-28</v>
      </c>
      <c r="AU81" s="114">
        <v>0.38</v>
      </c>
      <c r="AV81" s="112">
        <v>0.38</v>
      </c>
      <c r="AW81" s="112">
        <v>0.35</v>
      </c>
      <c r="AX81" s="112">
        <v>0.3</v>
      </c>
      <c r="AY81" s="112">
        <v>0.3</v>
      </c>
      <c r="AZ81" s="112">
        <v>0.3</v>
      </c>
      <c r="BA81" s="112">
        <v>0.3</v>
      </c>
      <c r="BB81" s="115">
        <v>0.3</v>
      </c>
      <c r="BC81" s="98">
        <v>-28</v>
      </c>
      <c r="BD81" s="93">
        <v>0.504</v>
      </c>
      <c r="BE81" s="94">
        <v>0.45400000000000001</v>
      </c>
      <c r="BF81" s="94">
        <v>0.5</v>
      </c>
      <c r="BG81" s="94">
        <v>0.45</v>
      </c>
      <c r="BH81" s="94">
        <v>0.45</v>
      </c>
      <c r="BI81" s="94">
        <v>0.45</v>
      </c>
      <c r="BJ81" s="94">
        <v>0.45</v>
      </c>
      <c r="BK81" s="95">
        <v>0.45</v>
      </c>
      <c r="BL81" s="123">
        <v>-28</v>
      </c>
      <c r="BM81" s="93">
        <v>0</v>
      </c>
      <c r="BN81" s="94">
        <v>0</v>
      </c>
      <c r="BO81" s="94">
        <v>0</v>
      </c>
      <c r="BP81" s="94">
        <v>0</v>
      </c>
      <c r="BQ81" s="94">
        <v>0</v>
      </c>
      <c r="BR81" s="94">
        <v>0</v>
      </c>
      <c r="BS81" s="94">
        <v>0</v>
      </c>
      <c r="BT81" s="95">
        <v>0</v>
      </c>
      <c r="BU81" s="124">
        <v>-28</v>
      </c>
      <c r="BV81" s="120">
        <v>0</v>
      </c>
      <c r="BW81" s="121">
        <v>0</v>
      </c>
      <c r="BX81" s="121">
        <v>0</v>
      </c>
      <c r="BY81" s="121">
        <v>0</v>
      </c>
      <c r="BZ81" s="121">
        <v>0</v>
      </c>
      <c r="CA81" s="121">
        <v>0</v>
      </c>
      <c r="CB81" s="121">
        <v>0</v>
      </c>
      <c r="CC81" s="122">
        <v>0</v>
      </c>
    </row>
    <row r="82" spans="1:81" ht="15" thickBot="1">
      <c r="A82" s="413"/>
      <c r="B82" s="413"/>
      <c r="C82" s="414"/>
      <c r="D82" s="413"/>
      <c r="E82" s="413"/>
      <c r="F82" s="413"/>
      <c r="G82" s="414"/>
      <c r="H82" s="414"/>
      <c r="I82" s="415"/>
      <c r="J82" s="413"/>
      <c r="K82" s="415"/>
      <c r="L82" s="416"/>
      <c r="M82" s="414"/>
      <c r="R82" s="394">
        <f t="shared" si="29"/>
        <v>31.111111111111985</v>
      </c>
      <c r="AI82" s="98">
        <v>-9</v>
      </c>
      <c r="AJ82" s="93">
        <v>1.05</v>
      </c>
      <c r="AK82" s="94">
        <v>1.05</v>
      </c>
      <c r="AL82" s="94">
        <v>1.05</v>
      </c>
      <c r="AM82" s="94">
        <v>1.05</v>
      </c>
      <c r="AN82" s="94">
        <v>1.05</v>
      </c>
      <c r="AO82" s="94">
        <v>1.05</v>
      </c>
      <c r="AP82" s="94">
        <v>1.05</v>
      </c>
      <c r="AQ82" s="95">
        <v>1.05</v>
      </c>
      <c r="AT82" s="98">
        <v>-27</v>
      </c>
      <c r="AU82" s="114">
        <v>0.38</v>
      </c>
      <c r="AV82" s="112">
        <v>0.38</v>
      </c>
      <c r="AW82" s="112">
        <v>0.35</v>
      </c>
      <c r="AX82" s="112">
        <v>0.3</v>
      </c>
      <c r="AY82" s="112">
        <v>0.3</v>
      </c>
      <c r="AZ82" s="112">
        <v>0.3</v>
      </c>
      <c r="BA82" s="112">
        <v>0.3</v>
      </c>
      <c r="BB82" s="115">
        <v>0.3</v>
      </c>
      <c r="BC82" s="98">
        <v>-27</v>
      </c>
      <c r="BD82" s="93">
        <v>0.51100000000000001</v>
      </c>
      <c r="BE82" s="94">
        <v>0.46100000000000002</v>
      </c>
      <c r="BF82" s="94">
        <v>0.5</v>
      </c>
      <c r="BG82" s="94">
        <v>0.45</v>
      </c>
      <c r="BH82" s="94">
        <v>0.45</v>
      </c>
      <c r="BI82" s="94">
        <v>0.45</v>
      </c>
      <c r="BJ82" s="94">
        <v>0.45</v>
      </c>
      <c r="BK82" s="95">
        <v>0.45</v>
      </c>
      <c r="BL82" s="123">
        <v>-27</v>
      </c>
      <c r="BM82" s="93">
        <v>0</v>
      </c>
      <c r="BN82" s="94">
        <v>0</v>
      </c>
      <c r="BO82" s="94">
        <v>0</v>
      </c>
      <c r="BP82" s="94">
        <v>0</v>
      </c>
      <c r="BQ82" s="94">
        <v>0</v>
      </c>
      <c r="BR82" s="94">
        <v>0</v>
      </c>
      <c r="BS82" s="94">
        <v>0</v>
      </c>
      <c r="BT82" s="95">
        <v>0</v>
      </c>
      <c r="BU82" s="124">
        <v>-27</v>
      </c>
      <c r="BV82" s="120">
        <v>0</v>
      </c>
      <c r="BW82" s="121">
        <v>0</v>
      </c>
      <c r="BX82" s="121">
        <v>0</v>
      </c>
      <c r="BY82" s="121">
        <v>0</v>
      </c>
      <c r="BZ82" s="121">
        <v>0</v>
      </c>
      <c r="CA82" s="121">
        <v>0</v>
      </c>
      <c r="CB82" s="121">
        <v>0</v>
      </c>
      <c r="CC82" s="122">
        <v>0</v>
      </c>
    </row>
    <row r="83" spans="1:81" ht="15" thickBot="1">
      <c r="A83" s="413"/>
      <c r="B83" s="413"/>
      <c r="C83" s="414"/>
      <c r="D83" s="413"/>
      <c r="E83" s="413"/>
      <c r="F83" s="413"/>
      <c r="G83" s="414"/>
      <c r="H83" s="414"/>
      <c r="I83" s="415"/>
      <c r="J83" s="413"/>
      <c r="K83" s="415"/>
      <c r="L83" s="416"/>
      <c r="M83" s="414"/>
      <c r="R83" s="394">
        <f t="shared" si="29"/>
        <v>31.500000000000874</v>
      </c>
      <c r="W83" s="419" t="s">
        <v>185</v>
      </c>
      <c r="X83" s="418">
        <f>'[2]Calc 268y'!B11</f>
        <v>1.92</v>
      </c>
      <c r="Z83" s="88" t="s">
        <v>186</v>
      </c>
      <c r="AA83" s="88">
        <f t="shared" ref="AA83:AH83" si="33">AA81/$X$83</f>
        <v>6.25E-2</v>
      </c>
      <c r="AB83" s="88">
        <f t="shared" si="33"/>
        <v>7.2916666666666671E-2</v>
      </c>
      <c r="AC83" s="88">
        <f t="shared" si="33"/>
        <v>7.8125E-2</v>
      </c>
      <c r="AD83" s="88">
        <f t="shared" si="33"/>
        <v>8.3333333333333343E-2</v>
      </c>
      <c r="AE83" s="88" t="e">
        <f t="shared" si="33"/>
        <v>#N/A</v>
      </c>
      <c r="AF83" s="88" t="e">
        <f t="shared" si="33"/>
        <v>#N/A</v>
      </c>
      <c r="AG83" s="88" t="e">
        <f t="shared" si="33"/>
        <v>#N/A</v>
      </c>
      <c r="AH83" s="88" t="e">
        <f t="shared" si="33"/>
        <v>#N/A</v>
      </c>
      <c r="AI83" s="98">
        <v>-8</v>
      </c>
      <c r="AJ83" s="93">
        <v>1.05</v>
      </c>
      <c r="AK83" s="94">
        <v>1.05</v>
      </c>
      <c r="AL83" s="94">
        <v>1.05</v>
      </c>
      <c r="AM83" s="94">
        <v>1.05</v>
      </c>
      <c r="AN83" s="94">
        <v>1.05</v>
      </c>
      <c r="AO83" s="94">
        <v>1.05</v>
      </c>
      <c r="AP83" s="94">
        <v>1.05</v>
      </c>
      <c r="AQ83" s="95">
        <v>1.05</v>
      </c>
      <c r="AT83" s="98">
        <v>-26</v>
      </c>
      <c r="AU83" s="114">
        <v>0.38</v>
      </c>
      <c r="AV83" s="112">
        <v>0.38</v>
      </c>
      <c r="AW83" s="112">
        <v>0.35</v>
      </c>
      <c r="AX83" s="112">
        <v>0.3</v>
      </c>
      <c r="AY83" s="112">
        <v>0.3</v>
      </c>
      <c r="AZ83" s="112">
        <v>0.3</v>
      </c>
      <c r="BA83" s="112">
        <v>0.3</v>
      </c>
      <c r="BB83" s="115">
        <v>0.3</v>
      </c>
      <c r="BC83" s="98">
        <v>-26</v>
      </c>
      <c r="BD83" s="93">
        <v>0.51800000000000002</v>
      </c>
      <c r="BE83" s="94">
        <v>0.46800000000000003</v>
      </c>
      <c r="BF83" s="94">
        <v>0.5</v>
      </c>
      <c r="BG83" s="94">
        <v>0.45</v>
      </c>
      <c r="BH83" s="94">
        <v>0.45</v>
      </c>
      <c r="BI83" s="94">
        <v>0.45</v>
      </c>
      <c r="BJ83" s="94">
        <v>0.45</v>
      </c>
      <c r="BK83" s="95">
        <v>0.45</v>
      </c>
      <c r="BL83" s="123">
        <v>-26</v>
      </c>
      <c r="BM83" s="93">
        <v>0</v>
      </c>
      <c r="BN83" s="94">
        <v>0</v>
      </c>
      <c r="BO83" s="94">
        <v>0</v>
      </c>
      <c r="BP83" s="94">
        <v>0</v>
      </c>
      <c r="BQ83" s="94">
        <v>0</v>
      </c>
      <c r="BR83" s="94">
        <v>0</v>
      </c>
      <c r="BS83" s="94">
        <v>0</v>
      </c>
      <c r="BT83" s="95">
        <v>0</v>
      </c>
      <c r="BU83" s="124">
        <v>-26</v>
      </c>
      <c r="BV83" s="120">
        <v>0</v>
      </c>
      <c r="BW83" s="121">
        <v>0</v>
      </c>
      <c r="BX83" s="121">
        <v>0</v>
      </c>
      <c r="BY83" s="121">
        <v>0</v>
      </c>
      <c r="BZ83" s="121">
        <v>0</v>
      </c>
      <c r="CA83" s="121">
        <v>0</v>
      </c>
      <c r="CB83" s="121">
        <v>0</v>
      </c>
      <c r="CC83" s="122">
        <v>0</v>
      </c>
    </row>
    <row r="84" spans="1:81" ht="15" thickBot="1">
      <c r="A84" s="413"/>
      <c r="B84" s="413"/>
      <c r="C84" s="414"/>
      <c r="D84" s="413"/>
      <c r="E84" s="413"/>
      <c r="F84" s="413"/>
      <c r="G84" s="414"/>
      <c r="H84" s="414"/>
      <c r="I84" s="415"/>
      <c r="J84" s="413"/>
      <c r="K84" s="415"/>
      <c r="L84" s="416"/>
      <c r="M84" s="414"/>
      <c r="R84" s="394">
        <f t="shared" si="29"/>
        <v>31.888888888889763</v>
      </c>
      <c r="Z84" s="418" t="s">
        <v>187</v>
      </c>
      <c r="AA84" s="419">
        <f t="shared" ref="AA84:AH84" si="34">ROUNDDOWN(AA83,0)</f>
        <v>0</v>
      </c>
      <c r="AB84" s="109">
        <f t="shared" si="34"/>
        <v>0</v>
      </c>
      <c r="AC84" s="109">
        <f t="shared" si="34"/>
        <v>0</v>
      </c>
      <c r="AD84" s="109">
        <f t="shared" si="34"/>
        <v>0</v>
      </c>
      <c r="AE84" s="109" t="e">
        <f t="shared" si="34"/>
        <v>#N/A</v>
      </c>
      <c r="AF84" s="109" t="e">
        <f t="shared" si="34"/>
        <v>#N/A</v>
      </c>
      <c r="AG84" s="109" t="e">
        <f t="shared" si="34"/>
        <v>#N/A</v>
      </c>
      <c r="AH84" s="110" t="e">
        <f t="shared" si="34"/>
        <v>#N/A</v>
      </c>
      <c r="AI84" s="104">
        <v>-7</v>
      </c>
      <c r="AJ84" s="93">
        <v>1.05</v>
      </c>
      <c r="AK84" s="94">
        <v>1.05</v>
      </c>
      <c r="AL84" s="94">
        <v>1.05</v>
      </c>
      <c r="AM84" s="94">
        <v>1.05</v>
      </c>
      <c r="AN84" s="94">
        <v>1.05</v>
      </c>
      <c r="AO84" s="94">
        <v>1.05</v>
      </c>
      <c r="AP84" s="94">
        <v>1.05</v>
      </c>
      <c r="AQ84" s="95">
        <v>1.05</v>
      </c>
      <c r="AT84" s="98">
        <v>-25</v>
      </c>
      <c r="AU84" s="114">
        <v>0.38</v>
      </c>
      <c r="AV84" s="112">
        <v>0.38</v>
      </c>
      <c r="AW84" s="112">
        <v>0.35</v>
      </c>
      <c r="AX84" s="112">
        <v>0.3</v>
      </c>
      <c r="AY84" s="112">
        <v>0.3</v>
      </c>
      <c r="AZ84" s="112">
        <v>0.3</v>
      </c>
      <c r="BA84" s="112">
        <v>0.3</v>
      </c>
      <c r="BB84" s="115">
        <v>0.3</v>
      </c>
      <c r="BC84" s="98">
        <v>-25</v>
      </c>
      <c r="BD84" s="93">
        <v>0.52500000000000002</v>
      </c>
      <c r="BE84" s="94">
        <v>0.47499999999999998</v>
      </c>
      <c r="BF84" s="94">
        <v>0.5</v>
      </c>
      <c r="BG84" s="94">
        <v>0.45</v>
      </c>
      <c r="BH84" s="94">
        <v>0.45</v>
      </c>
      <c r="BI84" s="94">
        <v>0.45</v>
      </c>
      <c r="BJ84" s="94">
        <v>0.45</v>
      </c>
      <c r="BK84" s="95">
        <v>0.45</v>
      </c>
      <c r="BL84" s="123">
        <v>-25</v>
      </c>
      <c r="BM84" s="93">
        <v>0</v>
      </c>
      <c r="BN84" s="94">
        <v>0</v>
      </c>
      <c r="BO84" s="94">
        <v>0</v>
      </c>
      <c r="BP84" s="94">
        <v>0</v>
      </c>
      <c r="BQ84" s="94">
        <v>0</v>
      </c>
      <c r="BR84" s="94">
        <v>0</v>
      </c>
      <c r="BS84" s="94">
        <v>0</v>
      </c>
      <c r="BT84" s="95">
        <v>0</v>
      </c>
      <c r="BU84" s="124">
        <v>-25</v>
      </c>
      <c r="BV84" s="120">
        <v>0</v>
      </c>
      <c r="BW84" s="121">
        <v>0</v>
      </c>
      <c r="BX84" s="121">
        <v>0</v>
      </c>
      <c r="BY84" s="121">
        <v>0</v>
      </c>
      <c r="BZ84" s="121">
        <v>0</v>
      </c>
      <c r="CA84" s="121">
        <v>0</v>
      </c>
      <c r="CB84" s="121">
        <v>0</v>
      </c>
      <c r="CC84" s="122">
        <v>0</v>
      </c>
    </row>
    <row r="85" spans="1:81" ht="14.25">
      <c r="A85" s="413"/>
      <c r="B85" s="413"/>
      <c r="C85" s="414"/>
      <c r="D85" s="413"/>
      <c r="E85" s="413"/>
      <c r="F85" s="413"/>
      <c r="G85" s="414"/>
      <c r="H85" s="414"/>
      <c r="I85" s="415"/>
      <c r="J85" s="420"/>
      <c r="K85" s="415"/>
      <c r="L85" s="416"/>
      <c r="M85" s="414"/>
      <c r="R85" s="394">
        <f t="shared" si="29"/>
        <v>32.277777777778653</v>
      </c>
      <c r="AI85" s="98">
        <v>-6</v>
      </c>
      <c r="AJ85" s="93">
        <v>1.05</v>
      </c>
      <c r="AK85" s="94">
        <v>1.05</v>
      </c>
      <c r="AL85" s="94">
        <v>1.05</v>
      </c>
      <c r="AM85" s="94">
        <v>1.05</v>
      </c>
      <c r="AN85" s="94">
        <v>1.05</v>
      </c>
      <c r="AO85" s="94">
        <v>1.05</v>
      </c>
      <c r="AP85" s="94">
        <v>1.05</v>
      </c>
      <c r="AQ85" s="95">
        <v>1.05</v>
      </c>
      <c r="AT85" s="98">
        <v>-24</v>
      </c>
      <c r="AU85" s="114">
        <v>0.38</v>
      </c>
      <c r="AV85" s="112">
        <v>0.38</v>
      </c>
      <c r="AW85" s="112">
        <v>0.35</v>
      </c>
      <c r="AX85" s="112">
        <v>0.3</v>
      </c>
      <c r="AY85" s="112">
        <v>0.3</v>
      </c>
      <c r="AZ85" s="112">
        <v>0.3</v>
      </c>
      <c r="BA85" s="112">
        <v>0.3</v>
      </c>
      <c r="BB85" s="115">
        <v>0.3</v>
      </c>
      <c r="BC85" s="98">
        <v>-24</v>
      </c>
      <c r="BD85" s="93">
        <v>0.53200000000000003</v>
      </c>
      <c r="BE85" s="94">
        <v>0.48199999999999998</v>
      </c>
      <c r="BF85" s="94">
        <v>0.5</v>
      </c>
      <c r="BG85" s="94">
        <v>0.45</v>
      </c>
      <c r="BH85" s="94">
        <v>0.45</v>
      </c>
      <c r="BI85" s="94">
        <v>0.45</v>
      </c>
      <c r="BJ85" s="94">
        <v>0.45</v>
      </c>
      <c r="BK85" s="95">
        <v>0.45</v>
      </c>
      <c r="BL85" s="123">
        <v>-24</v>
      </c>
      <c r="BM85" s="93">
        <v>0</v>
      </c>
      <c r="BN85" s="94">
        <v>0</v>
      </c>
      <c r="BO85" s="94">
        <v>0</v>
      </c>
      <c r="BP85" s="94">
        <v>0</v>
      </c>
      <c r="BQ85" s="94">
        <v>0</v>
      </c>
      <c r="BR85" s="94">
        <v>0</v>
      </c>
      <c r="BS85" s="94">
        <v>0</v>
      </c>
      <c r="BT85" s="95">
        <v>0</v>
      </c>
      <c r="BU85" s="124">
        <v>-24</v>
      </c>
      <c r="BV85" s="120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2">
        <v>0</v>
      </c>
    </row>
    <row r="86" spans="1:81" ht="14.25">
      <c r="A86" s="413"/>
      <c r="B86" s="413"/>
      <c r="C86" s="414"/>
      <c r="D86" s="413"/>
      <c r="E86" s="413"/>
      <c r="F86" s="413"/>
      <c r="G86" s="414"/>
      <c r="H86" s="414"/>
      <c r="I86" s="415"/>
      <c r="J86" s="420"/>
      <c r="K86" s="415"/>
      <c r="L86" s="416"/>
      <c r="M86" s="414"/>
      <c r="R86" s="394">
        <f t="shared" si="29"/>
        <v>32.666666666667538</v>
      </c>
      <c r="Z86" s="88" t="s">
        <v>188</v>
      </c>
      <c r="AA86" s="88">
        <f>(AA83-AA84)*$X$83</f>
        <v>0.12</v>
      </c>
      <c r="AB86" s="88">
        <f t="shared" ref="AB86:AG86" si="35">(AB83-AB84)*$X$83</f>
        <v>0.14000000000000001</v>
      </c>
      <c r="AC86" s="88">
        <f t="shared" si="35"/>
        <v>0.15</v>
      </c>
      <c r="AD86" s="88">
        <f t="shared" si="35"/>
        <v>0.16</v>
      </c>
      <c r="AE86" s="88" t="e">
        <f t="shared" si="35"/>
        <v>#N/A</v>
      </c>
      <c r="AF86" s="88" t="e">
        <f t="shared" si="35"/>
        <v>#N/A</v>
      </c>
      <c r="AG86" s="88" t="e">
        <f t="shared" si="35"/>
        <v>#N/A</v>
      </c>
      <c r="AH86" s="88" t="e">
        <f>(AH83-AH84)*$X$83</f>
        <v>#N/A</v>
      </c>
      <c r="AI86" s="98">
        <v>-5</v>
      </c>
      <c r="AJ86" s="93">
        <v>1.05</v>
      </c>
      <c r="AK86" s="94">
        <v>1.05</v>
      </c>
      <c r="AL86" s="94">
        <v>1.05</v>
      </c>
      <c r="AM86" s="94">
        <v>1.05</v>
      </c>
      <c r="AN86" s="94">
        <v>1.05</v>
      </c>
      <c r="AO86" s="94">
        <v>1.05</v>
      </c>
      <c r="AP86" s="94">
        <v>1.05</v>
      </c>
      <c r="AQ86" s="95">
        <v>1.05</v>
      </c>
      <c r="AT86" s="98">
        <v>-23</v>
      </c>
      <c r="AU86" s="114">
        <v>0.38</v>
      </c>
      <c r="AV86" s="112">
        <v>0.38</v>
      </c>
      <c r="AW86" s="112">
        <v>0.35</v>
      </c>
      <c r="AX86" s="112">
        <v>0.3</v>
      </c>
      <c r="AY86" s="112">
        <v>0.3</v>
      </c>
      <c r="AZ86" s="112">
        <v>0.3</v>
      </c>
      <c r="BA86" s="112">
        <v>0.3</v>
      </c>
      <c r="BB86" s="115">
        <v>0.3</v>
      </c>
      <c r="BC86" s="98">
        <v>-23</v>
      </c>
      <c r="BD86" s="93">
        <v>0.53900000000000003</v>
      </c>
      <c r="BE86" s="94">
        <v>0.48899999999999999</v>
      </c>
      <c r="BF86" s="94">
        <v>0.5</v>
      </c>
      <c r="BG86" s="94">
        <v>0.45</v>
      </c>
      <c r="BH86" s="94">
        <v>0.45</v>
      </c>
      <c r="BI86" s="94">
        <v>0.45</v>
      </c>
      <c r="BJ86" s="94">
        <v>0.45</v>
      </c>
      <c r="BK86" s="95">
        <v>0.45</v>
      </c>
      <c r="BL86" s="123">
        <v>-23</v>
      </c>
      <c r="BM86" s="93">
        <v>0</v>
      </c>
      <c r="BN86" s="94">
        <v>0</v>
      </c>
      <c r="BO86" s="94">
        <v>0</v>
      </c>
      <c r="BP86" s="94">
        <v>0</v>
      </c>
      <c r="BQ86" s="94">
        <v>0</v>
      </c>
      <c r="BR86" s="94">
        <v>0</v>
      </c>
      <c r="BS86" s="94">
        <v>0</v>
      </c>
      <c r="BT86" s="95">
        <v>0</v>
      </c>
      <c r="BU86" s="124">
        <v>-23</v>
      </c>
      <c r="BV86" s="120">
        <v>0</v>
      </c>
      <c r="BW86" s="121">
        <v>0</v>
      </c>
      <c r="BX86" s="121">
        <v>0</v>
      </c>
      <c r="BY86" s="121">
        <v>0</v>
      </c>
      <c r="BZ86" s="121">
        <v>0</v>
      </c>
      <c r="CA86" s="121">
        <v>0</v>
      </c>
      <c r="CB86" s="121">
        <v>0</v>
      </c>
      <c r="CC86" s="122">
        <v>0</v>
      </c>
    </row>
    <row r="87" spans="1:81" ht="15" thickBot="1">
      <c r="A87" s="413"/>
      <c r="B87" s="413"/>
      <c r="C87" s="414"/>
      <c r="D87" s="413"/>
      <c r="E87" s="413"/>
      <c r="F87" s="413"/>
      <c r="G87" s="414"/>
      <c r="H87" s="414"/>
      <c r="I87" s="415"/>
      <c r="J87" s="420"/>
      <c r="K87" s="415"/>
      <c r="L87" s="416"/>
      <c r="M87" s="414"/>
      <c r="R87" s="394">
        <f t="shared" si="29"/>
        <v>33.055555555556424</v>
      </c>
      <c r="AI87" s="98">
        <v>-4</v>
      </c>
      <c r="AJ87" s="93">
        <v>1.05</v>
      </c>
      <c r="AK87" s="94">
        <v>1.05</v>
      </c>
      <c r="AL87" s="94">
        <v>1.05</v>
      </c>
      <c r="AM87" s="94">
        <v>1.05</v>
      </c>
      <c r="AN87" s="94">
        <v>1.05</v>
      </c>
      <c r="AO87" s="94">
        <v>1.05</v>
      </c>
      <c r="AP87" s="94">
        <v>1.05</v>
      </c>
      <c r="AQ87" s="95">
        <v>1.05</v>
      </c>
      <c r="AT87" s="98">
        <v>-22</v>
      </c>
      <c r="AU87" s="114">
        <v>0.38</v>
      </c>
      <c r="AV87" s="112">
        <v>0.38</v>
      </c>
      <c r="AW87" s="112">
        <v>0.35</v>
      </c>
      <c r="AX87" s="112">
        <v>0.3</v>
      </c>
      <c r="AY87" s="112">
        <v>0.3</v>
      </c>
      <c r="AZ87" s="112">
        <v>0.3</v>
      </c>
      <c r="BA87" s="112">
        <v>0.3</v>
      </c>
      <c r="BB87" s="115">
        <v>0.3</v>
      </c>
      <c r="BC87" s="98">
        <v>-22</v>
      </c>
      <c r="BD87" s="93">
        <v>0.54600000000000004</v>
      </c>
      <c r="BE87" s="94">
        <v>0.496</v>
      </c>
      <c r="BF87" s="94">
        <v>0.5</v>
      </c>
      <c r="BG87" s="94">
        <v>0.45</v>
      </c>
      <c r="BH87" s="94">
        <v>0.45</v>
      </c>
      <c r="BI87" s="94">
        <v>0.45</v>
      </c>
      <c r="BJ87" s="94">
        <v>0.45</v>
      </c>
      <c r="BK87" s="95">
        <v>0.45</v>
      </c>
      <c r="BL87" s="123">
        <v>-22</v>
      </c>
      <c r="BM87" s="93">
        <v>0</v>
      </c>
      <c r="BN87" s="94">
        <v>0</v>
      </c>
      <c r="BO87" s="94">
        <v>0</v>
      </c>
      <c r="BP87" s="94">
        <v>0</v>
      </c>
      <c r="BQ87" s="94">
        <v>0</v>
      </c>
      <c r="BR87" s="94">
        <v>0</v>
      </c>
      <c r="BS87" s="94">
        <v>0</v>
      </c>
      <c r="BT87" s="95">
        <v>0</v>
      </c>
      <c r="BU87" s="124">
        <v>-22</v>
      </c>
      <c r="BV87" s="120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2">
        <v>0</v>
      </c>
    </row>
    <row r="88" spans="1:81" ht="15" thickBot="1">
      <c r="A88" s="413"/>
      <c r="B88" s="413"/>
      <c r="C88" s="414"/>
      <c r="D88" s="413"/>
      <c r="E88" s="413"/>
      <c r="F88" s="413"/>
      <c r="G88" s="414"/>
      <c r="H88" s="414"/>
      <c r="I88" s="415"/>
      <c r="J88" s="420"/>
      <c r="K88" s="415"/>
      <c r="L88" s="416"/>
      <c r="M88" s="414"/>
      <c r="R88" s="394">
        <f t="shared" si="29"/>
        <v>33.44444444444531</v>
      </c>
      <c r="W88" s="418" t="s">
        <v>189</v>
      </c>
      <c r="X88" s="418">
        <f>'[2]Calc 268y'!B12</f>
        <v>0.217</v>
      </c>
      <c r="Z88" s="418" t="s">
        <v>190</v>
      </c>
      <c r="AA88" s="419">
        <f t="shared" ref="AA88:AH88" si="36">ROUND(AA86/$X$88,2)</f>
        <v>0.55000000000000004</v>
      </c>
      <c r="AB88" s="109">
        <f t="shared" si="36"/>
        <v>0.65</v>
      </c>
      <c r="AC88" s="109">
        <f t="shared" si="36"/>
        <v>0.69</v>
      </c>
      <c r="AD88" s="109">
        <f t="shared" si="36"/>
        <v>0.74</v>
      </c>
      <c r="AE88" s="109" t="e">
        <f t="shared" si="36"/>
        <v>#N/A</v>
      </c>
      <c r="AF88" s="109" t="e">
        <f t="shared" si="36"/>
        <v>#N/A</v>
      </c>
      <c r="AG88" s="109" t="e">
        <f t="shared" si="36"/>
        <v>#N/A</v>
      </c>
      <c r="AH88" s="110" t="e">
        <f t="shared" si="36"/>
        <v>#N/A</v>
      </c>
      <c r="AI88" s="104">
        <v>-3</v>
      </c>
      <c r="AJ88" s="93">
        <v>1.05</v>
      </c>
      <c r="AK88" s="94">
        <v>1.05</v>
      </c>
      <c r="AL88" s="94">
        <v>1.05</v>
      </c>
      <c r="AM88" s="94">
        <v>1.05</v>
      </c>
      <c r="AN88" s="94">
        <v>1.05</v>
      </c>
      <c r="AO88" s="94">
        <v>1.05</v>
      </c>
      <c r="AP88" s="94">
        <v>1.05</v>
      </c>
      <c r="AQ88" s="95">
        <v>1.05</v>
      </c>
      <c r="AT88" s="98">
        <v>-21</v>
      </c>
      <c r="AU88" s="114">
        <v>0.38</v>
      </c>
      <c r="AV88" s="112">
        <v>0.38</v>
      </c>
      <c r="AW88" s="112">
        <v>0.35</v>
      </c>
      <c r="AX88" s="112">
        <v>0.3</v>
      </c>
      <c r="AY88" s="112">
        <v>0.3</v>
      </c>
      <c r="AZ88" s="112">
        <v>0.3</v>
      </c>
      <c r="BA88" s="112">
        <v>0.3</v>
      </c>
      <c r="BB88" s="115">
        <v>0.3</v>
      </c>
      <c r="BC88" s="98">
        <v>-21</v>
      </c>
      <c r="BD88" s="93">
        <v>0.55300000000000005</v>
      </c>
      <c r="BE88" s="94">
        <v>0.503</v>
      </c>
      <c r="BF88" s="94">
        <v>0.5</v>
      </c>
      <c r="BG88" s="94">
        <v>0.45</v>
      </c>
      <c r="BH88" s="94">
        <v>0.45</v>
      </c>
      <c r="BI88" s="94">
        <v>0.45</v>
      </c>
      <c r="BJ88" s="94">
        <v>0.45</v>
      </c>
      <c r="BK88" s="95">
        <v>0.45</v>
      </c>
      <c r="BL88" s="123">
        <v>-21</v>
      </c>
      <c r="BM88" s="93">
        <v>0</v>
      </c>
      <c r="BN88" s="94">
        <v>0</v>
      </c>
      <c r="BO88" s="94">
        <v>0</v>
      </c>
      <c r="BP88" s="94">
        <v>0</v>
      </c>
      <c r="BQ88" s="94">
        <v>0</v>
      </c>
      <c r="BR88" s="94">
        <v>0</v>
      </c>
      <c r="BS88" s="94">
        <v>0</v>
      </c>
      <c r="BT88" s="95">
        <v>0</v>
      </c>
      <c r="BU88" s="124">
        <v>-21</v>
      </c>
      <c r="BV88" s="120">
        <v>0</v>
      </c>
      <c r="BW88" s="121">
        <v>0</v>
      </c>
      <c r="BX88" s="121">
        <v>0</v>
      </c>
      <c r="BY88" s="121">
        <v>0</v>
      </c>
      <c r="BZ88" s="121">
        <v>0</v>
      </c>
      <c r="CA88" s="121">
        <v>0</v>
      </c>
      <c r="CB88" s="121">
        <v>0</v>
      </c>
      <c r="CC88" s="122">
        <v>0</v>
      </c>
    </row>
    <row r="89" spans="1:81" ht="14.25">
      <c r="A89" s="413"/>
      <c r="B89" s="413"/>
      <c r="C89" s="414"/>
      <c r="D89" s="413"/>
      <c r="E89" s="413"/>
      <c r="F89" s="413"/>
      <c r="G89" s="414"/>
      <c r="H89" s="414"/>
      <c r="I89" s="415"/>
      <c r="J89" s="420"/>
      <c r="K89" s="415"/>
      <c r="L89" s="416"/>
      <c r="M89" s="414"/>
      <c r="R89" s="394">
        <f t="shared" si="29"/>
        <v>33.833333333334195</v>
      </c>
      <c r="AI89" s="98">
        <v>-2</v>
      </c>
      <c r="AJ89" s="93">
        <v>1.05</v>
      </c>
      <c r="AK89" s="94">
        <v>1.05</v>
      </c>
      <c r="AL89" s="94">
        <v>1.05</v>
      </c>
      <c r="AM89" s="94">
        <v>1.05</v>
      </c>
      <c r="AN89" s="94">
        <v>1.05</v>
      </c>
      <c r="AO89" s="94">
        <v>1.05</v>
      </c>
      <c r="AP89" s="94">
        <v>1.05</v>
      </c>
      <c r="AQ89" s="95">
        <v>1.05</v>
      </c>
      <c r="AT89" s="98">
        <v>-20</v>
      </c>
      <c r="AU89" s="114">
        <v>0.38</v>
      </c>
      <c r="AV89" s="112">
        <v>0.38</v>
      </c>
      <c r="AW89" s="112">
        <v>0.35</v>
      </c>
      <c r="AX89" s="112">
        <v>0.3</v>
      </c>
      <c r="AY89" s="112">
        <v>0.3</v>
      </c>
      <c r="AZ89" s="112">
        <v>0.3</v>
      </c>
      <c r="BA89" s="112">
        <v>0.3</v>
      </c>
      <c r="BB89" s="115">
        <v>0.3</v>
      </c>
      <c r="BC89" s="98">
        <v>-20</v>
      </c>
      <c r="BD89" s="93">
        <v>0.56000000000000005</v>
      </c>
      <c r="BE89" s="94">
        <v>0.51</v>
      </c>
      <c r="BF89" s="94">
        <v>0.5</v>
      </c>
      <c r="BG89" s="94">
        <v>0.45</v>
      </c>
      <c r="BH89" s="94">
        <v>0.45</v>
      </c>
      <c r="BI89" s="94">
        <v>0.45</v>
      </c>
      <c r="BJ89" s="94">
        <v>0.45</v>
      </c>
      <c r="BK89" s="95">
        <v>0.45</v>
      </c>
      <c r="BL89" s="123">
        <v>-20</v>
      </c>
      <c r="BM89" s="93">
        <v>0</v>
      </c>
      <c r="BN89" s="94">
        <v>0</v>
      </c>
      <c r="BO89" s="94">
        <v>0</v>
      </c>
      <c r="BP89" s="94">
        <v>0</v>
      </c>
      <c r="BQ89" s="94">
        <v>0</v>
      </c>
      <c r="BR89" s="94">
        <v>0</v>
      </c>
      <c r="BS89" s="94">
        <v>0</v>
      </c>
      <c r="BT89" s="95">
        <v>0</v>
      </c>
      <c r="BU89" s="124">
        <v>-20</v>
      </c>
      <c r="BV89" s="120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2">
        <v>0</v>
      </c>
    </row>
    <row r="90" spans="1:81" ht="15" thickBot="1">
      <c r="A90" s="413"/>
      <c r="B90" s="413"/>
      <c r="C90" s="414"/>
      <c r="D90" s="413"/>
      <c r="E90" s="413"/>
      <c r="F90" s="413"/>
      <c r="G90" s="414"/>
      <c r="H90" s="414"/>
      <c r="I90" s="415"/>
      <c r="J90" s="420"/>
      <c r="K90" s="415"/>
      <c r="L90" s="416"/>
      <c r="M90" s="414"/>
      <c r="R90" s="394">
        <f t="shared" si="29"/>
        <v>34.222222222223081</v>
      </c>
      <c r="AI90" s="98">
        <v>-1</v>
      </c>
      <c r="AJ90" s="93">
        <v>1.05</v>
      </c>
      <c r="AK90" s="94">
        <v>1.05</v>
      </c>
      <c r="AL90" s="94">
        <v>1.05</v>
      </c>
      <c r="AM90" s="94">
        <v>1.05</v>
      </c>
      <c r="AN90" s="94">
        <v>1.05</v>
      </c>
      <c r="AO90" s="94">
        <v>1.05</v>
      </c>
      <c r="AP90" s="94">
        <v>1.05</v>
      </c>
      <c r="AQ90" s="95">
        <v>1.05</v>
      </c>
      <c r="AT90" s="98">
        <v>-19</v>
      </c>
      <c r="AU90" s="114">
        <v>0.38</v>
      </c>
      <c r="AV90" s="112">
        <v>0.38</v>
      </c>
      <c r="AW90" s="112">
        <v>0.35</v>
      </c>
      <c r="AX90" s="112">
        <v>0.3</v>
      </c>
      <c r="AY90" s="112">
        <v>0.3</v>
      </c>
      <c r="AZ90" s="112">
        <v>0.3</v>
      </c>
      <c r="BA90" s="112">
        <v>0.3</v>
      </c>
      <c r="BB90" s="115">
        <v>0.3</v>
      </c>
      <c r="BC90" s="98">
        <v>-19</v>
      </c>
      <c r="BD90" s="93">
        <v>0.56700000000000006</v>
      </c>
      <c r="BE90" s="94">
        <v>0.51700000000000002</v>
      </c>
      <c r="BF90" s="94">
        <v>0.5</v>
      </c>
      <c r="BG90" s="94">
        <v>0.45</v>
      </c>
      <c r="BH90" s="94">
        <v>0.45</v>
      </c>
      <c r="BI90" s="94">
        <v>0.45</v>
      </c>
      <c r="BJ90" s="94">
        <v>0.45</v>
      </c>
      <c r="BK90" s="95">
        <v>0.45</v>
      </c>
      <c r="BL90" s="123">
        <v>-19</v>
      </c>
      <c r="BM90" s="93">
        <v>0</v>
      </c>
      <c r="BN90" s="94">
        <v>0</v>
      </c>
      <c r="BO90" s="94">
        <v>0</v>
      </c>
      <c r="BP90" s="94">
        <v>0</v>
      </c>
      <c r="BQ90" s="94">
        <v>0</v>
      </c>
      <c r="BR90" s="94">
        <v>0</v>
      </c>
      <c r="BS90" s="94">
        <v>0</v>
      </c>
      <c r="BT90" s="95">
        <v>0</v>
      </c>
      <c r="BU90" s="124">
        <v>-19</v>
      </c>
      <c r="BV90" s="120">
        <v>0</v>
      </c>
      <c r="BW90" s="121">
        <v>0</v>
      </c>
      <c r="BX90" s="121">
        <v>0</v>
      </c>
      <c r="BY90" s="121">
        <v>0</v>
      </c>
      <c r="BZ90" s="121">
        <v>0</v>
      </c>
      <c r="CA90" s="121">
        <v>0</v>
      </c>
      <c r="CB90" s="121">
        <v>0</v>
      </c>
      <c r="CC90" s="122">
        <v>0</v>
      </c>
    </row>
    <row r="91" spans="1:81" ht="15" thickBot="1">
      <c r="A91" s="413"/>
      <c r="B91" s="413"/>
      <c r="C91" s="414"/>
      <c r="D91" s="413"/>
      <c r="E91" s="414"/>
      <c r="F91" s="413"/>
      <c r="G91" s="414"/>
      <c r="H91" s="414"/>
      <c r="I91" s="415"/>
      <c r="J91" s="420"/>
      <c r="K91" s="415"/>
      <c r="L91" s="416"/>
      <c r="M91" s="414"/>
      <c r="R91" s="394">
        <f t="shared" si="29"/>
        <v>34.611111111111967</v>
      </c>
      <c r="Z91" s="419" t="s">
        <v>191</v>
      </c>
      <c r="AA91" s="421" t="str">
        <f t="shared" ref="AA91:AH91" si="37">CONCATENATE(AA84," + ",AA88)</f>
        <v>0 + 0.55</v>
      </c>
      <c r="AB91" s="143" t="str">
        <f t="shared" si="37"/>
        <v>0 + 0.65</v>
      </c>
      <c r="AC91" s="143" t="str">
        <f t="shared" si="37"/>
        <v>0 + 0.69</v>
      </c>
      <c r="AD91" s="143" t="str">
        <f t="shared" si="37"/>
        <v>0 + 0.74</v>
      </c>
      <c r="AE91" s="143" t="e">
        <f t="shared" si="37"/>
        <v>#N/A</v>
      </c>
      <c r="AF91" s="143" t="e">
        <f t="shared" si="37"/>
        <v>#N/A</v>
      </c>
      <c r="AG91" s="143" t="e">
        <f t="shared" si="37"/>
        <v>#N/A</v>
      </c>
      <c r="AH91" s="144" t="e">
        <f t="shared" si="37"/>
        <v>#N/A</v>
      </c>
      <c r="AI91" s="104">
        <v>0</v>
      </c>
      <c r="AJ91" s="93">
        <v>1.05</v>
      </c>
      <c r="AK91" s="94">
        <v>1.05</v>
      </c>
      <c r="AL91" s="94">
        <v>1.05</v>
      </c>
      <c r="AM91" s="94">
        <v>1.05</v>
      </c>
      <c r="AN91" s="94">
        <v>1.05</v>
      </c>
      <c r="AO91" s="94">
        <v>1.05</v>
      </c>
      <c r="AP91" s="94">
        <v>1.05</v>
      </c>
      <c r="AQ91" s="95">
        <v>1.05</v>
      </c>
      <c r="AT91" s="98">
        <v>-18</v>
      </c>
      <c r="AU91" s="114">
        <v>0.38</v>
      </c>
      <c r="AV91" s="112">
        <v>0.38</v>
      </c>
      <c r="AW91" s="112">
        <v>0.35</v>
      </c>
      <c r="AX91" s="112">
        <v>0.3</v>
      </c>
      <c r="AY91" s="112">
        <v>0.3</v>
      </c>
      <c r="AZ91" s="112">
        <v>0.3</v>
      </c>
      <c r="BA91" s="112">
        <v>0.3</v>
      </c>
      <c r="BB91" s="115">
        <v>0.3</v>
      </c>
      <c r="BC91" s="98">
        <v>-18</v>
      </c>
      <c r="BD91" s="93">
        <v>0.57400000000000007</v>
      </c>
      <c r="BE91" s="94">
        <v>0.52400000000000002</v>
      </c>
      <c r="BF91" s="94">
        <v>0.5</v>
      </c>
      <c r="BG91" s="94">
        <v>0.45</v>
      </c>
      <c r="BH91" s="94">
        <v>0.45</v>
      </c>
      <c r="BI91" s="94">
        <v>0.45</v>
      </c>
      <c r="BJ91" s="94">
        <v>0.45</v>
      </c>
      <c r="BK91" s="95">
        <v>0.45</v>
      </c>
      <c r="BL91" s="123">
        <v>-18</v>
      </c>
      <c r="BM91" s="93">
        <v>0</v>
      </c>
      <c r="BN91" s="94">
        <v>0</v>
      </c>
      <c r="BO91" s="94">
        <v>0</v>
      </c>
      <c r="BP91" s="94">
        <v>0</v>
      </c>
      <c r="BQ91" s="94">
        <v>0</v>
      </c>
      <c r="BR91" s="94">
        <v>0</v>
      </c>
      <c r="BS91" s="94">
        <v>0</v>
      </c>
      <c r="BT91" s="95">
        <v>0</v>
      </c>
      <c r="BU91" s="124">
        <v>-18</v>
      </c>
      <c r="BV91" s="120">
        <v>0</v>
      </c>
      <c r="BW91" s="121">
        <v>0</v>
      </c>
      <c r="BX91" s="121">
        <v>0</v>
      </c>
      <c r="BY91" s="121">
        <v>0</v>
      </c>
      <c r="BZ91" s="121">
        <v>0</v>
      </c>
      <c r="CA91" s="121">
        <v>0</v>
      </c>
      <c r="CB91" s="121">
        <v>0</v>
      </c>
      <c r="CC91" s="122">
        <v>0</v>
      </c>
    </row>
    <row r="92" spans="1:81" ht="15" thickBot="1">
      <c r="A92" s="413"/>
      <c r="B92" s="413"/>
      <c r="C92" s="414"/>
      <c r="D92" s="413"/>
      <c r="E92" s="414"/>
      <c r="F92" s="413"/>
      <c r="G92" s="414"/>
      <c r="H92" s="414"/>
      <c r="I92" s="415"/>
      <c r="J92" s="420"/>
      <c r="K92" s="415"/>
      <c r="L92" s="416"/>
      <c r="M92" s="414"/>
      <c r="R92" s="394">
        <f t="shared" si="29"/>
        <v>35.000000000000853</v>
      </c>
      <c r="AA92" s="145" t="s">
        <v>175</v>
      </c>
      <c r="AB92" s="146" t="s">
        <v>176</v>
      </c>
      <c r="AC92" s="146" t="s">
        <v>177</v>
      </c>
      <c r="AD92" s="146" t="s">
        <v>178</v>
      </c>
      <c r="AE92" s="146" t="s">
        <v>179</v>
      </c>
      <c r="AF92" s="146" t="s">
        <v>180</v>
      </c>
      <c r="AG92" s="146" t="s">
        <v>181</v>
      </c>
      <c r="AH92" s="147" t="s">
        <v>182</v>
      </c>
      <c r="AI92" s="104">
        <v>1</v>
      </c>
      <c r="AJ92" s="93">
        <v>1</v>
      </c>
      <c r="AK92" s="94">
        <v>1</v>
      </c>
      <c r="AL92" s="94">
        <v>1</v>
      </c>
      <c r="AM92" s="94">
        <v>1</v>
      </c>
      <c r="AN92" s="94">
        <v>1</v>
      </c>
      <c r="AO92" s="94">
        <v>1</v>
      </c>
      <c r="AP92" s="94">
        <v>1</v>
      </c>
      <c r="AQ92" s="95">
        <v>1</v>
      </c>
      <c r="AT92" s="98">
        <v>-17</v>
      </c>
      <c r="AU92" s="114">
        <v>0.38</v>
      </c>
      <c r="AV92" s="112">
        <v>0.38</v>
      </c>
      <c r="AW92" s="112">
        <v>0.35</v>
      </c>
      <c r="AX92" s="112">
        <v>0.3</v>
      </c>
      <c r="AY92" s="112">
        <v>0.3</v>
      </c>
      <c r="AZ92" s="112">
        <v>0.3</v>
      </c>
      <c r="BA92" s="112">
        <v>0.3</v>
      </c>
      <c r="BB92" s="115">
        <v>0.3</v>
      </c>
      <c r="BC92" s="98">
        <v>-17</v>
      </c>
      <c r="BD92" s="93">
        <v>0.58099999999999996</v>
      </c>
      <c r="BE92" s="94">
        <v>0.53100000000000003</v>
      </c>
      <c r="BF92" s="94">
        <v>0.5</v>
      </c>
      <c r="BG92" s="94">
        <v>0.45</v>
      </c>
      <c r="BH92" s="94">
        <v>0.45</v>
      </c>
      <c r="BI92" s="94">
        <v>0.45</v>
      </c>
      <c r="BJ92" s="94">
        <v>0.45</v>
      </c>
      <c r="BK92" s="95">
        <v>0.45</v>
      </c>
      <c r="BL92" s="123">
        <v>-17</v>
      </c>
      <c r="BM92" s="93">
        <v>0</v>
      </c>
      <c r="BN92" s="94">
        <v>0</v>
      </c>
      <c r="BO92" s="94">
        <v>0</v>
      </c>
      <c r="BP92" s="94">
        <v>0</v>
      </c>
      <c r="BQ92" s="94">
        <v>0</v>
      </c>
      <c r="BR92" s="94">
        <v>0</v>
      </c>
      <c r="BS92" s="94">
        <v>0</v>
      </c>
      <c r="BT92" s="95">
        <v>0</v>
      </c>
      <c r="BU92" s="124">
        <v>-17</v>
      </c>
      <c r="BV92" s="120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2">
        <v>0</v>
      </c>
    </row>
    <row r="93" spans="1:81" ht="14.25">
      <c r="A93" s="413"/>
      <c r="B93" s="413"/>
      <c r="C93" s="414"/>
      <c r="D93" s="413"/>
      <c r="E93" s="414"/>
      <c r="F93" s="413"/>
      <c r="G93" s="414"/>
      <c r="H93" s="414"/>
      <c r="I93" s="415"/>
      <c r="J93" s="420"/>
      <c r="K93" s="415"/>
      <c r="L93" s="416"/>
      <c r="M93" s="414"/>
      <c r="R93" s="394">
        <f t="shared" si="29"/>
        <v>35.388888888889738</v>
      </c>
      <c r="AI93" s="98">
        <v>2</v>
      </c>
      <c r="AJ93" s="93">
        <v>1</v>
      </c>
      <c r="AK93" s="94">
        <v>1</v>
      </c>
      <c r="AL93" s="94">
        <v>1</v>
      </c>
      <c r="AM93" s="94">
        <v>1</v>
      </c>
      <c r="AN93" s="94">
        <v>1</v>
      </c>
      <c r="AO93" s="94">
        <v>1</v>
      </c>
      <c r="AP93" s="94">
        <v>1</v>
      </c>
      <c r="AQ93" s="95">
        <v>1</v>
      </c>
      <c r="AT93" s="98">
        <v>-16</v>
      </c>
      <c r="AU93" s="114">
        <v>0.38</v>
      </c>
      <c r="AV93" s="112">
        <v>0.38</v>
      </c>
      <c r="AW93" s="112">
        <v>0.35</v>
      </c>
      <c r="AX93" s="112">
        <v>0.3</v>
      </c>
      <c r="AY93" s="112">
        <v>0.3</v>
      </c>
      <c r="AZ93" s="112">
        <v>0.3</v>
      </c>
      <c r="BA93" s="112">
        <v>0.3</v>
      </c>
      <c r="BB93" s="115">
        <v>0.3</v>
      </c>
      <c r="BC93" s="98">
        <v>-16</v>
      </c>
      <c r="BD93" s="93">
        <v>0.58799999999999997</v>
      </c>
      <c r="BE93" s="94">
        <v>0.53800000000000003</v>
      </c>
      <c r="BF93" s="94">
        <v>0.5</v>
      </c>
      <c r="BG93" s="94">
        <v>0.45</v>
      </c>
      <c r="BH93" s="94">
        <v>0.45</v>
      </c>
      <c r="BI93" s="94">
        <v>0.45</v>
      </c>
      <c r="BJ93" s="94">
        <v>0.45</v>
      </c>
      <c r="BK93" s="95">
        <v>0.45</v>
      </c>
      <c r="BL93" s="123">
        <v>-16</v>
      </c>
      <c r="BM93" s="93">
        <v>0</v>
      </c>
      <c r="BN93" s="94">
        <v>0</v>
      </c>
      <c r="BO93" s="94">
        <v>0</v>
      </c>
      <c r="BP93" s="94">
        <v>0</v>
      </c>
      <c r="BQ93" s="94">
        <v>0</v>
      </c>
      <c r="BR93" s="94">
        <v>0</v>
      </c>
      <c r="BS93" s="94">
        <v>0</v>
      </c>
      <c r="BT93" s="95">
        <v>0</v>
      </c>
      <c r="BU93" s="124">
        <v>-16</v>
      </c>
      <c r="BV93" s="120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0</v>
      </c>
      <c r="CB93" s="121">
        <v>0</v>
      </c>
      <c r="CC93" s="122">
        <v>0</v>
      </c>
    </row>
    <row r="94" spans="1:81" ht="14.25">
      <c r="A94" s="413"/>
      <c r="B94" s="413"/>
      <c r="C94" s="414"/>
      <c r="D94" s="413"/>
      <c r="E94" s="414"/>
      <c r="F94" s="413"/>
      <c r="G94" s="414"/>
      <c r="H94" s="414"/>
      <c r="I94" s="415"/>
      <c r="J94" s="420"/>
      <c r="K94" s="415"/>
      <c r="L94" s="416"/>
      <c r="M94" s="414"/>
      <c r="R94" s="394">
        <f t="shared" si="29"/>
        <v>35.777777777778624</v>
      </c>
      <c r="AA94" s="88" t="e">
        <f t="shared" ref="AA94:AH94" si="38">AA59</f>
        <v>#VALUE!</v>
      </c>
      <c r="AB94" s="88" t="e">
        <f t="shared" si="38"/>
        <v>#VALUE!</v>
      </c>
      <c r="AC94" s="88" t="e">
        <f t="shared" si="38"/>
        <v>#VALUE!</v>
      </c>
      <c r="AD94" s="88" t="e">
        <f t="shared" si="38"/>
        <v>#VALUE!</v>
      </c>
      <c r="AE94" s="88" t="e">
        <f t="shared" si="38"/>
        <v>#VALUE!</v>
      </c>
      <c r="AF94" s="88" t="e">
        <f t="shared" si="38"/>
        <v>#VALUE!</v>
      </c>
      <c r="AG94" s="88" t="e">
        <f t="shared" si="38"/>
        <v>#VALUE!</v>
      </c>
      <c r="AH94" s="88" t="e">
        <f t="shared" si="38"/>
        <v>#VALUE!</v>
      </c>
      <c r="AI94" s="98">
        <v>3</v>
      </c>
      <c r="AJ94" s="93">
        <v>0.95</v>
      </c>
      <c r="AK94" s="94">
        <v>0.95</v>
      </c>
      <c r="AL94" s="94">
        <v>0.95</v>
      </c>
      <c r="AM94" s="94">
        <v>0.95</v>
      </c>
      <c r="AN94" s="94">
        <v>0.95</v>
      </c>
      <c r="AO94" s="94">
        <v>0.95</v>
      </c>
      <c r="AP94" s="94">
        <v>0.95</v>
      </c>
      <c r="AQ94" s="95">
        <v>0.95</v>
      </c>
      <c r="AT94" s="98">
        <v>-15</v>
      </c>
      <c r="AU94" s="114">
        <v>0.38</v>
      </c>
      <c r="AV94" s="112">
        <v>0.38</v>
      </c>
      <c r="AW94" s="112">
        <v>0.35</v>
      </c>
      <c r="AX94" s="112">
        <v>0.3</v>
      </c>
      <c r="AY94" s="112">
        <v>0.3</v>
      </c>
      <c r="AZ94" s="112">
        <v>0.3</v>
      </c>
      <c r="BA94" s="112">
        <v>0.3</v>
      </c>
      <c r="BB94" s="115">
        <v>0.3</v>
      </c>
      <c r="BC94" s="98">
        <v>-15</v>
      </c>
      <c r="BD94" s="93">
        <v>0.59499999999999997</v>
      </c>
      <c r="BE94" s="94">
        <v>0.54500000000000004</v>
      </c>
      <c r="BF94" s="94">
        <v>0.5</v>
      </c>
      <c r="BG94" s="94">
        <v>0.45</v>
      </c>
      <c r="BH94" s="94">
        <v>0.45</v>
      </c>
      <c r="BI94" s="94">
        <v>0.45</v>
      </c>
      <c r="BJ94" s="94">
        <v>0.45</v>
      </c>
      <c r="BK94" s="95">
        <v>0.45</v>
      </c>
      <c r="BL94" s="123">
        <v>-15</v>
      </c>
      <c r="BM94" s="93">
        <v>0</v>
      </c>
      <c r="BN94" s="94">
        <v>0</v>
      </c>
      <c r="BO94" s="94">
        <v>0</v>
      </c>
      <c r="BP94" s="94">
        <v>0</v>
      </c>
      <c r="BQ94" s="94">
        <v>0</v>
      </c>
      <c r="BR94" s="94">
        <v>0</v>
      </c>
      <c r="BS94" s="94">
        <v>0</v>
      </c>
      <c r="BT94" s="95">
        <v>0</v>
      </c>
      <c r="BU94" s="124">
        <v>-15</v>
      </c>
      <c r="BV94" s="120">
        <v>0</v>
      </c>
      <c r="BW94" s="121">
        <v>0</v>
      </c>
      <c r="BX94" s="121">
        <v>0</v>
      </c>
      <c r="BY94" s="121">
        <v>0</v>
      </c>
      <c r="BZ94" s="121">
        <v>0</v>
      </c>
      <c r="CA94" s="121">
        <v>0</v>
      </c>
      <c r="CB94" s="121">
        <v>0</v>
      </c>
      <c r="CC94" s="122">
        <v>0</v>
      </c>
    </row>
    <row r="95" spans="1:81" ht="14.25">
      <c r="A95" s="413"/>
      <c r="B95" s="413"/>
      <c r="C95" s="414"/>
      <c r="D95" s="413"/>
      <c r="E95" s="414"/>
      <c r="F95" s="413"/>
      <c r="G95" s="414"/>
      <c r="H95" s="414"/>
      <c r="I95" s="415"/>
      <c r="J95" s="420"/>
      <c r="K95" s="415"/>
      <c r="L95" s="416"/>
      <c r="M95" s="414"/>
      <c r="R95" s="394">
        <f t="shared" si="29"/>
        <v>36.16666666666751</v>
      </c>
      <c r="AI95" s="98">
        <v>4</v>
      </c>
      <c r="AJ95" s="93">
        <v>0.95</v>
      </c>
      <c r="AK95" s="94">
        <v>0.95</v>
      </c>
      <c r="AL95" s="94">
        <v>0.95</v>
      </c>
      <c r="AM95" s="94">
        <v>0.95</v>
      </c>
      <c r="AN95" s="94">
        <v>0.95</v>
      </c>
      <c r="AO95" s="94">
        <v>0.95</v>
      </c>
      <c r="AP95" s="94">
        <v>0.95</v>
      </c>
      <c r="AQ95" s="95">
        <v>0.95</v>
      </c>
      <c r="AT95" s="98">
        <v>-14</v>
      </c>
      <c r="AU95" s="114">
        <v>0.38</v>
      </c>
      <c r="AV95" s="112">
        <v>0.38</v>
      </c>
      <c r="AW95" s="112">
        <v>0.35</v>
      </c>
      <c r="AX95" s="112">
        <v>0.3</v>
      </c>
      <c r="AY95" s="112">
        <v>0.3</v>
      </c>
      <c r="AZ95" s="112">
        <v>0.3</v>
      </c>
      <c r="BA95" s="112">
        <v>0.3</v>
      </c>
      <c r="BB95" s="115">
        <v>0.3</v>
      </c>
      <c r="BC95" s="98">
        <v>-14</v>
      </c>
      <c r="BD95" s="93">
        <v>0.60199999999999998</v>
      </c>
      <c r="BE95" s="94">
        <v>0.55200000000000005</v>
      </c>
      <c r="BF95" s="94">
        <v>0.5</v>
      </c>
      <c r="BG95" s="94">
        <v>0.45</v>
      </c>
      <c r="BH95" s="94">
        <v>0.45</v>
      </c>
      <c r="BI95" s="94">
        <v>0.45</v>
      </c>
      <c r="BJ95" s="94">
        <v>0.45</v>
      </c>
      <c r="BK95" s="95">
        <v>0.45</v>
      </c>
      <c r="BL95" s="123">
        <v>-14</v>
      </c>
      <c r="BM95" s="93">
        <v>0</v>
      </c>
      <c r="BN95" s="94">
        <v>0</v>
      </c>
      <c r="BO95" s="94">
        <v>0</v>
      </c>
      <c r="BP95" s="94">
        <v>0</v>
      </c>
      <c r="BQ95" s="94">
        <v>0</v>
      </c>
      <c r="BR95" s="94">
        <v>0</v>
      </c>
      <c r="BS95" s="94">
        <v>0</v>
      </c>
      <c r="BT95" s="95">
        <v>0</v>
      </c>
      <c r="BU95" s="124">
        <v>-14</v>
      </c>
      <c r="BV95" s="120">
        <v>0</v>
      </c>
      <c r="BW95" s="121">
        <v>0</v>
      </c>
      <c r="BX95" s="121">
        <v>0</v>
      </c>
      <c r="BY95" s="121">
        <v>0</v>
      </c>
      <c r="BZ95" s="121">
        <v>0</v>
      </c>
      <c r="CA95" s="121">
        <v>0</v>
      </c>
      <c r="CB95" s="121">
        <v>0</v>
      </c>
      <c r="CC95" s="122">
        <v>0</v>
      </c>
    </row>
    <row r="96" spans="1:81" ht="14.25">
      <c r="A96" s="413"/>
      <c r="B96" s="413"/>
      <c r="C96" s="414"/>
      <c r="D96" s="413"/>
      <c r="E96" s="414"/>
      <c r="F96" s="413"/>
      <c r="G96" s="414"/>
      <c r="H96" s="414"/>
      <c r="I96" s="415"/>
      <c r="J96" s="420"/>
      <c r="K96" s="415"/>
      <c r="L96" s="416"/>
      <c r="M96" s="414"/>
      <c r="R96" s="394">
        <f t="shared" si="29"/>
        <v>36.555555555556396</v>
      </c>
      <c r="AI96" s="98">
        <v>5</v>
      </c>
      <c r="AJ96" s="93">
        <v>0.95</v>
      </c>
      <c r="AK96" s="94">
        <v>0.95</v>
      </c>
      <c r="AL96" s="94">
        <v>0.95</v>
      </c>
      <c r="AM96" s="94">
        <v>0.95</v>
      </c>
      <c r="AN96" s="94">
        <v>0.95</v>
      </c>
      <c r="AO96" s="94">
        <v>0.95</v>
      </c>
      <c r="AP96" s="94">
        <v>0.9</v>
      </c>
      <c r="AQ96" s="95">
        <v>0.9</v>
      </c>
      <c r="AT96" s="98">
        <v>-13</v>
      </c>
      <c r="AU96" s="114">
        <v>0.38</v>
      </c>
      <c r="AV96" s="112">
        <v>0.38</v>
      </c>
      <c r="AW96" s="112">
        <v>0.35</v>
      </c>
      <c r="AX96" s="112">
        <v>0.3</v>
      </c>
      <c r="AY96" s="112">
        <v>0.3</v>
      </c>
      <c r="AZ96" s="112">
        <v>0.3</v>
      </c>
      <c r="BA96" s="112">
        <v>0.3</v>
      </c>
      <c r="BB96" s="115">
        <v>0.3</v>
      </c>
      <c r="BC96" s="98">
        <v>-13</v>
      </c>
      <c r="BD96" s="93">
        <v>0.60899999999999999</v>
      </c>
      <c r="BE96" s="94">
        <v>0.55900000000000005</v>
      </c>
      <c r="BF96" s="94">
        <v>0.5</v>
      </c>
      <c r="BG96" s="94">
        <v>0.45</v>
      </c>
      <c r="BH96" s="94">
        <v>0.45</v>
      </c>
      <c r="BI96" s="94">
        <v>0.45</v>
      </c>
      <c r="BJ96" s="94">
        <v>0.45</v>
      </c>
      <c r="BK96" s="95">
        <v>0.45</v>
      </c>
      <c r="BL96" s="123">
        <v>-13</v>
      </c>
      <c r="BM96" s="93">
        <v>0</v>
      </c>
      <c r="BN96" s="94">
        <v>0</v>
      </c>
      <c r="BO96" s="94">
        <v>0</v>
      </c>
      <c r="BP96" s="94">
        <v>0</v>
      </c>
      <c r="BQ96" s="94">
        <v>0</v>
      </c>
      <c r="BR96" s="94">
        <v>0</v>
      </c>
      <c r="BS96" s="94">
        <v>0</v>
      </c>
      <c r="BT96" s="95">
        <v>0</v>
      </c>
      <c r="BU96" s="124">
        <v>-13</v>
      </c>
      <c r="BV96" s="120">
        <v>0</v>
      </c>
      <c r="BW96" s="121">
        <v>0</v>
      </c>
      <c r="BX96" s="121">
        <v>0</v>
      </c>
      <c r="BY96" s="121">
        <v>0</v>
      </c>
      <c r="BZ96" s="121">
        <v>0</v>
      </c>
      <c r="CA96" s="121">
        <v>0</v>
      </c>
      <c r="CB96" s="121">
        <v>0</v>
      </c>
      <c r="CC96" s="122">
        <v>0</v>
      </c>
    </row>
    <row r="97" spans="1:81" ht="14.25">
      <c r="A97" s="413"/>
      <c r="B97" s="413"/>
      <c r="C97" s="414"/>
      <c r="D97" s="413"/>
      <c r="E97" s="414"/>
      <c r="F97" s="413"/>
      <c r="G97" s="414"/>
      <c r="H97" s="414"/>
      <c r="I97" s="415"/>
      <c r="J97" s="420"/>
      <c r="K97" s="415"/>
      <c r="L97" s="416"/>
      <c r="M97" s="414"/>
      <c r="R97" s="394">
        <f t="shared" si="29"/>
        <v>36.944444444445281</v>
      </c>
      <c r="AI97" s="98">
        <v>6</v>
      </c>
      <c r="AJ97" s="93">
        <v>0.9</v>
      </c>
      <c r="AK97" s="94">
        <v>0.9</v>
      </c>
      <c r="AL97" s="94">
        <v>0.9</v>
      </c>
      <c r="AM97" s="94">
        <v>0.88</v>
      </c>
      <c r="AN97" s="94">
        <v>0.88</v>
      </c>
      <c r="AO97" s="94">
        <v>0.88</v>
      </c>
      <c r="AP97" s="94">
        <v>0.9</v>
      </c>
      <c r="AQ97" s="95">
        <v>0.9</v>
      </c>
      <c r="AT97" s="98">
        <v>-12</v>
      </c>
      <c r="AU97" s="114">
        <v>0.38</v>
      </c>
      <c r="AV97" s="112">
        <v>0.38</v>
      </c>
      <c r="AW97" s="112">
        <v>0.35</v>
      </c>
      <c r="AX97" s="112">
        <v>0.3</v>
      </c>
      <c r="AY97" s="112">
        <v>0.3</v>
      </c>
      <c r="AZ97" s="112">
        <v>0.3</v>
      </c>
      <c r="BA97" s="112">
        <v>0.3</v>
      </c>
      <c r="BB97" s="115">
        <v>0.3</v>
      </c>
      <c r="BC97" s="98">
        <v>-12</v>
      </c>
      <c r="BD97" s="93">
        <v>0.61599999999999999</v>
      </c>
      <c r="BE97" s="94">
        <v>0.56600000000000006</v>
      </c>
      <c r="BF97" s="94">
        <v>0.5</v>
      </c>
      <c r="BG97" s="94">
        <v>0.45</v>
      </c>
      <c r="BH97" s="94">
        <v>0.45</v>
      </c>
      <c r="BI97" s="94">
        <v>0.45</v>
      </c>
      <c r="BJ97" s="94">
        <v>0.45</v>
      </c>
      <c r="BK97" s="95">
        <v>0.45</v>
      </c>
      <c r="BL97" s="123">
        <v>-12</v>
      </c>
      <c r="BM97" s="93">
        <v>0</v>
      </c>
      <c r="BN97" s="94">
        <v>0</v>
      </c>
      <c r="BO97" s="94">
        <v>0</v>
      </c>
      <c r="BP97" s="94">
        <v>0</v>
      </c>
      <c r="BQ97" s="94">
        <v>0</v>
      </c>
      <c r="BR97" s="94">
        <v>0</v>
      </c>
      <c r="BS97" s="94">
        <v>0</v>
      </c>
      <c r="BT97" s="95">
        <v>0</v>
      </c>
      <c r="BU97" s="124">
        <v>-12</v>
      </c>
      <c r="BV97" s="120">
        <v>0</v>
      </c>
      <c r="BW97" s="121">
        <v>0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2">
        <v>0</v>
      </c>
    </row>
    <row r="98" spans="1:81" ht="14.25">
      <c r="A98" s="413"/>
      <c r="B98" s="413"/>
      <c r="C98" s="414"/>
      <c r="D98" s="413"/>
      <c r="E98" s="414"/>
      <c r="F98" s="413"/>
      <c r="G98" s="414"/>
      <c r="H98" s="414"/>
      <c r="I98" s="415"/>
      <c r="J98" s="420"/>
      <c r="K98" s="415"/>
      <c r="L98" s="416"/>
      <c r="M98" s="414"/>
      <c r="R98" s="394">
        <f t="shared" si="29"/>
        <v>37.333333333334167</v>
      </c>
      <c r="AI98" s="98">
        <v>7</v>
      </c>
      <c r="AJ98" s="93">
        <v>0.9</v>
      </c>
      <c r="AK98" s="94">
        <v>0.9</v>
      </c>
      <c r="AL98" s="94">
        <v>0.9</v>
      </c>
      <c r="AM98" s="94">
        <v>0.88</v>
      </c>
      <c r="AN98" s="94">
        <v>0.88</v>
      </c>
      <c r="AO98" s="94">
        <v>0.88</v>
      </c>
      <c r="AP98" s="94">
        <v>0.87</v>
      </c>
      <c r="AQ98" s="95">
        <v>0.87</v>
      </c>
      <c r="AT98" s="98">
        <v>-11</v>
      </c>
      <c r="AU98" s="114">
        <v>0.38</v>
      </c>
      <c r="AV98" s="112">
        <v>0.38</v>
      </c>
      <c r="AW98" s="112">
        <v>0.35</v>
      </c>
      <c r="AX98" s="112">
        <v>0.3</v>
      </c>
      <c r="AY98" s="112">
        <v>0.3</v>
      </c>
      <c r="AZ98" s="112">
        <v>0.3</v>
      </c>
      <c r="BA98" s="112">
        <v>0.3</v>
      </c>
      <c r="BB98" s="115">
        <v>0.3</v>
      </c>
      <c r="BC98" s="98">
        <v>-11</v>
      </c>
      <c r="BD98" s="93">
        <v>0.623</v>
      </c>
      <c r="BE98" s="94">
        <v>0.57300000000000006</v>
      </c>
      <c r="BF98" s="94">
        <v>0.55000000000000004</v>
      </c>
      <c r="BG98" s="94">
        <v>0.5</v>
      </c>
      <c r="BH98" s="94">
        <v>0.46</v>
      </c>
      <c r="BI98" s="94">
        <v>0.5</v>
      </c>
      <c r="BJ98" s="94">
        <v>0.47</v>
      </c>
      <c r="BK98" s="95">
        <v>0.47</v>
      </c>
      <c r="BL98" s="123">
        <v>-11</v>
      </c>
      <c r="BM98" s="93">
        <v>0</v>
      </c>
      <c r="BN98" s="94">
        <v>0</v>
      </c>
      <c r="BO98" s="94">
        <v>0</v>
      </c>
      <c r="BP98" s="94">
        <v>0</v>
      </c>
      <c r="BQ98" s="94">
        <v>0</v>
      </c>
      <c r="BR98" s="94">
        <v>0</v>
      </c>
      <c r="BS98" s="94">
        <v>0</v>
      </c>
      <c r="BT98" s="95">
        <v>0</v>
      </c>
      <c r="BU98" s="124">
        <v>-11</v>
      </c>
      <c r="BV98" s="120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2">
        <v>0</v>
      </c>
    </row>
    <row r="99" spans="1:81" ht="14.25">
      <c r="A99" s="413"/>
      <c r="B99" s="413"/>
      <c r="C99" s="414"/>
      <c r="D99" s="413"/>
      <c r="E99" s="414"/>
      <c r="F99" s="413"/>
      <c r="G99" s="414"/>
      <c r="H99" s="414"/>
      <c r="I99" s="415"/>
      <c r="J99" s="420"/>
      <c r="K99" s="415"/>
      <c r="L99" s="416"/>
      <c r="M99" s="414"/>
      <c r="R99" s="394">
        <f t="shared" si="29"/>
        <v>37.722222222223053</v>
      </c>
      <c r="AI99" s="98">
        <v>8</v>
      </c>
      <c r="AJ99" s="93">
        <v>0.86</v>
      </c>
      <c r="AK99" s="94">
        <v>0.86</v>
      </c>
      <c r="AL99" s="94">
        <v>0.86</v>
      </c>
      <c r="AM99" s="94">
        <v>0.85</v>
      </c>
      <c r="AN99" s="94">
        <v>0.85</v>
      </c>
      <c r="AO99" s="94">
        <v>0.85</v>
      </c>
      <c r="AP99" s="94">
        <v>0.87</v>
      </c>
      <c r="AQ99" s="95">
        <v>0.87</v>
      </c>
      <c r="AT99" s="98">
        <v>-10</v>
      </c>
      <c r="AU99" s="114">
        <v>0.38</v>
      </c>
      <c r="AV99" s="112">
        <v>0.38</v>
      </c>
      <c r="AW99" s="112">
        <v>0.35</v>
      </c>
      <c r="AX99" s="112">
        <v>0.3</v>
      </c>
      <c r="AY99" s="112">
        <v>0.3</v>
      </c>
      <c r="AZ99" s="112">
        <v>0.3</v>
      </c>
      <c r="BA99" s="112">
        <v>0.3</v>
      </c>
      <c r="BB99" s="115">
        <v>0.3</v>
      </c>
      <c r="BC99" s="98">
        <v>-10</v>
      </c>
      <c r="BD99" s="93">
        <v>0.63</v>
      </c>
      <c r="BE99" s="94">
        <v>0.57999999999999996</v>
      </c>
      <c r="BF99" s="94">
        <v>0.55000000000000004</v>
      </c>
      <c r="BG99" s="94">
        <v>0.5</v>
      </c>
      <c r="BH99" s="94">
        <v>0.46</v>
      </c>
      <c r="BI99" s="94">
        <v>0.5</v>
      </c>
      <c r="BJ99" s="94">
        <v>0.47</v>
      </c>
      <c r="BK99" s="95">
        <v>0.47</v>
      </c>
      <c r="BL99" s="123">
        <v>-10</v>
      </c>
      <c r="BM99" s="93">
        <v>0</v>
      </c>
      <c r="BN99" s="94">
        <v>0</v>
      </c>
      <c r="BO99" s="94">
        <v>0</v>
      </c>
      <c r="BP99" s="94">
        <v>0</v>
      </c>
      <c r="BQ99" s="94">
        <v>0</v>
      </c>
      <c r="BR99" s="94">
        <v>0</v>
      </c>
      <c r="BS99" s="94">
        <v>0</v>
      </c>
      <c r="BT99" s="95">
        <v>0</v>
      </c>
      <c r="BU99" s="124">
        <v>-10</v>
      </c>
      <c r="BV99" s="120">
        <v>0</v>
      </c>
      <c r="BW99" s="121">
        <v>0</v>
      </c>
      <c r="BX99" s="121">
        <v>0</v>
      </c>
      <c r="BY99" s="121">
        <v>0</v>
      </c>
      <c r="BZ99" s="121">
        <v>0</v>
      </c>
      <c r="CA99" s="121">
        <v>0</v>
      </c>
      <c r="CB99" s="121">
        <v>0</v>
      </c>
      <c r="CC99" s="122">
        <v>0</v>
      </c>
    </row>
    <row r="100" spans="1:81" ht="14.25">
      <c r="A100" s="413"/>
      <c r="B100" s="413"/>
      <c r="C100" s="414"/>
      <c r="D100" s="413"/>
      <c r="E100" s="414"/>
      <c r="F100" s="413"/>
      <c r="G100" s="414"/>
      <c r="H100" s="414"/>
      <c r="I100" s="415"/>
      <c r="J100" s="420"/>
      <c r="K100" s="415"/>
      <c r="L100" s="416"/>
      <c r="M100" s="414"/>
      <c r="R100" s="394">
        <f t="shared" si="29"/>
        <v>38.111111111111938</v>
      </c>
      <c r="AI100" s="98">
        <v>9</v>
      </c>
      <c r="AJ100" s="93">
        <v>0.86</v>
      </c>
      <c r="AK100" s="94">
        <v>0.86</v>
      </c>
      <c r="AL100" s="94">
        <v>0.86</v>
      </c>
      <c r="AM100" s="94">
        <v>0.85</v>
      </c>
      <c r="AN100" s="94">
        <v>0.85</v>
      </c>
      <c r="AO100" s="94">
        <v>0.85</v>
      </c>
      <c r="AP100" s="94">
        <v>0.85</v>
      </c>
      <c r="AQ100" s="95">
        <v>0.85</v>
      </c>
      <c r="AT100" s="98">
        <v>-9</v>
      </c>
      <c r="AU100" s="114">
        <v>0.38</v>
      </c>
      <c r="AV100" s="112">
        <v>0.38</v>
      </c>
      <c r="AW100" s="112">
        <v>0.35</v>
      </c>
      <c r="AX100" s="112">
        <v>0.3</v>
      </c>
      <c r="AY100" s="112">
        <v>0.3</v>
      </c>
      <c r="AZ100" s="112">
        <v>0.3</v>
      </c>
      <c r="BA100" s="112">
        <v>0.3</v>
      </c>
      <c r="BB100" s="115">
        <v>0.3</v>
      </c>
      <c r="BC100" s="98">
        <v>-9</v>
      </c>
      <c r="BD100" s="93">
        <v>0.63700000000000001</v>
      </c>
      <c r="BE100" s="94">
        <v>0.58699999999999997</v>
      </c>
      <c r="BF100" s="94">
        <v>0.55000000000000004</v>
      </c>
      <c r="BG100" s="94">
        <v>0.5</v>
      </c>
      <c r="BH100" s="94">
        <v>0.46</v>
      </c>
      <c r="BI100" s="94">
        <v>0.5</v>
      </c>
      <c r="BJ100" s="94">
        <v>0.47</v>
      </c>
      <c r="BK100" s="95">
        <v>0.47</v>
      </c>
      <c r="BL100" s="123">
        <v>-9</v>
      </c>
      <c r="BM100" s="93">
        <v>0</v>
      </c>
      <c r="BN100" s="94">
        <v>0</v>
      </c>
      <c r="BO100" s="94">
        <v>0</v>
      </c>
      <c r="BP100" s="94">
        <v>0</v>
      </c>
      <c r="BQ100" s="94">
        <v>0</v>
      </c>
      <c r="BR100" s="94">
        <v>0</v>
      </c>
      <c r="BS100" s="94">
        <v>0</v>
      </c>
      <c r="BT100" s="95">
        <v>0</v>
      </c>
      <c r="BU100" s="124">
        <v>-9</v>
      </c>
      <c r="BV100" s="120">
        <v>0</v>
      </c>
      <c r="BW100" s="121">
        <v>0</v>
      </c>
      <c r="BX100" s="121">
        <v>0</v>
      </c>
      <c r="BY100" s="121">
        <v>0</v>
      </c>
      <c r="BZ100" s="121">
        <v>0</v>
      </c>
      <c r="CA100" s="121">
        <v>0</v>
      </c>
      <c r="CB100" s="121">
        <v>0</v>
      </c>
      <c r="CC100" s="122">
        <v>0</v>
      </c>
    </row>
    <row r="101" spans="1:81" ht="14.25">
      <c r="A101" s="413"/>
      <c r="B101" s="413"/>
      <c r="C101" s="414"/>
      <c r="D101" s="413"/>
      <c r="E101" s="414"/>
      <c r="F101" s="413"/>
      <c r="G101" s="414"/>
      <c r="H101" s="414"/>
      <c r="I101" s="415"/>
      <c r="J101" s="420"/>
      <c r="K101" s="415"/>
      <c r="L101" s="416"/>
      <c r="M101" s="414"/>
      <c r="R101" s="394">
        <f t="shared" si="29"/>
        <v>38.500000000000824</v>
      </c>
      <c r="AI101" s="98">
        <v>10</v>
      </c>
      <c r="AJ101" s="93">
        <v>0.86</v>
      </c>
      <c r="AK101" s="94">
        <v>0.86</v>
      </c>
      <c r="AL101" s="94">
        <v>0.86</v>
      </c>
      <c r="AM101" s="94">
        <v>0.85</v>
      </c>
      <c r="AN101" s="94">
        <v>0.85</v>
      </c>
      <c r="AO101" s="94">
        <v>0.85</v>
      </c>
      <c r="AP101" s="94">
        <v>0.85</v>
      </c>
      <c r="AQ101" s="95">
        <v>0.85</v>
      </c>
      <c r="AT101" s="98">
        <v>-8</v>
      </c>
      <c r="AU101" s="114">
        <v>0.38</v>
      </c>
      <c r="AV101" s="112">
        <v>0.38</v>
      </c>
      <c r="AW101" s="112">
        <v>0.35</v>
      </c>
      <c r="AX101" s="112">
        <v>0.3</v>
      </c>
      <c r="AY101" s="112">
        <v>0.3</v>
      </c>
      <c r="AZ101" s="112">
        <v>0.3</v>
      </c>
      <c r="BA101" s="112">
        <v>0.3</v>
      </c>
      <c r="BB101" s="115">
        <v>0.3</v>
      </c>
      <c r="BC101" s="98">
        <v>-8</v>
      </c>
      <c r="BD101" s="93">
        <v>0.64400000000000002</v>
      </c>
      <c r="BE101" s="94">
        <v>0.59399999999999997</v>
      </c>
      <c r="BF101" s="94">
        <v>0.55000000000000004</v>
      </c>
      <c r="BG101" s="94">
        <v>0.5</v>
      </c>
      <c r="BH101" s="94">
        <v>0.46</v>
      </c>
      <c r="BI101" s="94">
        <v>0.5</v>
      </c>
      <c r="BJ101" s="94">
        <v>0.47</v>
      </c>
      <c r="BK101" s="95">
        <v>0.47</v>
      </c>
      <c r="BL101" s="123">
        <v>-8</v>
      </c>
      <c r="BM101" s="93">
        <v>0</v>
      </c>
      <c r="BN101" s="94">
        <v>0</v>
      </c>
      <c r="BO101" s="94">
        <v>0</v>
      </c>
      <c r="BP101" s="94">
        <v>0</v>
      </c>
      <c r="BQ101" s="94">
        <v>0</v>
      </c>
      <c r="BR101" s="94">
        <v>0</v>
      </c>
      <c r="BS101" s="94">
        <v>0</v>
      </c>
      <c r="BT101" s="95">
        <v>0</v>
      </c>
      <c r="BU101" s="124">
        <v>-8</v>
      </c>
      <c r="BV101" s="120">
        <v>0</v>
      </c>
      <c r="BW101" s="121">
        <v>0</v>
      </c>
      <c r="BX101" s="121">
        <v>0</v>
      </c>
      <c r="BY101" s="121">
        <v>0</v>
      </c>
      <c r="BZ101" s="121">
        <v>0</v>
      </c>
      <c r="CA101" s="121">
        <v>0</v>
      </c>
      <c r="CB101" s="121">
        <v>0</v>
      </c>
      <c r="CC101" s="122">
        <v>0</v>
      </c>
    </row>
    <row r="102" spans="1:81" ht="14.25">
      <c r="A102" s="413"/>
      <c r="B102" s="413"/>
      <c r="C102" s="414"/>
      <c r="D102" s="413"/>
      <c r="E102" s="414"/>
      <c r="F102" s="413"/>
      <c r="G102" s="414"/>
      <c r="H102" s="414"/>
      <c r="I102" s="415"/>
      <c r="J102" s="420"/>
      <c r="K102" s="415"/>
      <c r="L102" s="416"/>
      <c r="M102" s="414"/>
      <c r="R102" s="394">
        <f t="shared" si="29"/>
        <v>38.88888888888971</v>
      </c>
      <c r="AI102" s="98">
        <v>11</v>
      </c>
      <c r="AJ102" s="93">
        <v>0.82</v>
      </c>
      <c r="AK102" s="94">
        <v>0.82</v>
      </c>
      <c r="AL102" s="94">
        <v>0.82</v>
      </c>
      <c r="AM102" s="94">
        <v>0.82</v>
      </c>
      <c r="AN102" s="94">
        <v>0.82</v>
      </c>
      <c r="AO102" s="94">
        <v>0.82</v>
      </c>
      <c r="AP102" s="94">
        <v>0.82</v>
      </c>
      <c r="AQ102" s="95">
        <v>0.82</v>
      </c>
      <c r="AT102" s="98">
        <v>-7</v>
      </c>
      <c r="AU102" s="114">
        <v>0.38</v>
      </c>
      <c r="AV102" s="112">
        <v>0.38</v>
      </c>
      <c r="AW102" s="112">
        <v>0.35</v>
      </c>
      <c r="AX102" s="112">
        <v>0.3</v>
      </c>
      <c r="AY102" s="112">
        <v>0.3</v>
      </c>
      <c r="AZ102" s="112">
        <v>0.3</v>
      </c>
      <c r="BA102" s="112">
        <v>0.3</v>
      </c>
      <c r="BB102" s="115">
        <v>0.3</v>
      </c>
      <c r="BC102" s="98">
        <v>-7</v>
      </c>
      <c r="BD102" s="93">
        <v>0.65100000000000002</v>
      </c>
      <c r="BE102" s="94">
        <v>0.60099999999999998</v>
      </c>
      <c r="BF102" s="94">
        <v>0.55000000000000004</v>
      </c>
      <c r="BG102" s="94">
        <v>0.5</v>
      </c>
      <c r="BH102" s="94">
        <v>0.46</v>
      </c>
      <c r="BI102" s="94">
        <v>0.5</v>
      </c>
      <c r="BJ102" s="94">
        <v>0.47</v>
      </c>
      <c r="BK102" s="95">
        <v>0.47</v>
      </c>
      <c r="BL102" s="123">
        <v>-7</v>
      </c>
      <c r="BM102" s="93">
        <v>0</v>
      </c>
      <c r="BN102" s="94">
        <v>0</v>
      </c>
      <c r="BO102" s="94">
        <v>0</v>
      </c>
      <c r="BP102" s="94">
        <v>0</v>
      </c>
      <c r="BQ102" s="94">
        <v>0</v>
      </c>
      <c r="BR102" s="94">
        <v>0</v>
      </c>
      <c r="BS102" s="94">
        <v>0</v>
      </c>
      <c r="BT102" s="95">
        <v>0</v>
      </c>
      <c r="BU102" s="124">
        <v>-7</v>
      </c>
      <c r="BV102" s="120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2">
        <v>0</v>
      </c>
    </row>
    <row r="103" spans="1:81" ht="14.25">
      <c r="A103" s="413"/>
      <c r="B103" s="413"/>
      <c r="C103" s="414"/>
      <c r="D103" s="413"/>
      <c r="E103" s="414"/>
      <c r="F103" s="413"/>
      <c r="G103" s="414"/>
      <c r="H103" s="414"/>
      <c r="I103" s="415"/>
      <c r="J103" s="420"/>
      <c r="K103" s="415"/>
      <c r="L103" s="416"/>
      <c r="M103" s="414"/>
      <c r="R103" s="394">
        <f t="shared" si="29"/>
        <v>39.277777777778596</v>
      </c>
      <c r="AI103" s="98">
        <v>12</v>
      </c>
      <c r="AJ103" s="93">
        <v>0.82</v>
      </c>
      <c r="AK103" s="94">
        <v>0.82</v>
      </c>
      <c r="AL103" s="94">
        <v>0.82</v>
      </c>
      <c r="AM103" s="94">
        <v>0.82</v>
      </c>
      <c r="AN103" s="94">
        <v>0.82</v>
      </c>
      <c r="AO103" s="94">
        <v>0.82</v>
      </c>
      <c r="AP103" s="94">
        <v>0.82</v>
      </c>
      <c r="AQ103" s="95">
        <v>0.82</v>
      </c>
      <c r="AT103" s="98">
        <v>-6</v>
      </c>
      <c r="AU103" s="114">
        <v>0.38</v>
      </c>
      <c r="AV103" s="112">
        <v>0.38</v>
      </c>
      <c r="AW103" s="112">
        <v>0.35</v>
      </c>
      <c r="AX103" s="112">
        <v>0.3</v>
      </c>
      <c r="AY103" s="112">
        <v>0.3</v>
      </c>
      <c r="AZ103" s="112">
        <v>0.3</v>
      </c>
      <c r="BA103" s="112">
        <v>0.3</v>
      </c>
      <c r="BB103" s="115">
        <v>0.3</v>
      </c>
      <c r="BC103" s="98">
        <v>-6</v>
      </c>
      <c r="BD103" s="93">
        <v>0.65800000000000003</v>
      </c>
      <c r="BE103" s="94">
        <v>0.60799999999999998</v>
      </c>
      <c r="BF103" s="94">
        <v>0.55000000000000004</v>
      </c>
      <c r="BG103" s="94">
        <v>0.5</v>
      </c>
      <c r="BH103" s="94">
        <v>0.46</v>
      </c>
      <c r="BI103" s="94">
        <v>0.5</v>
      </c>
      <c r="BJ103" s="94">
        <v>0.47</v>
      </c>
      <c r="BK103" s="95">
        <v>0.47</v>
      </c>
      <c r="BL103" s="123">
        <v>-6</v>
      </c>
      <c r="BM103" s="93">
        <v>0</v>
      </c>
      <c r="BN103" s="94">
        <v>0</v>
      </c>
      <c r="BO103" s="94">
        <v>0</v>
      </c>
      <c r="BP103" s="94">
        <v>0</v>
      </c>
      <c r="BQ103" s="94">
        <v>0</v>
      </c>
      <c r="BR103" s="94">
        <v>0</v>
      </c>
      <c r="BS103" s="94">
        <v>0</v>
      </c>
      <c r="BT103" s="95">
        <v>0</v>
      </c>
      <c r="BU103" s="124">
        <v>-6</v>
      </c>
      <c r="BV103" s="120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2">
        <v>0</v>
      </c>
    </row>
    <row r="104" spans="1:81" ht="14.25">
      <c r="A104" s="413"/>
      <c r="B104" s="413"/>
      <c r="C104" s="414"/>
      <c r="D104" s="413"/>
      <c r="E104" s="414"/>
      <c r="F104" s="413"/>
      <c r="G104" s="414"/>
      <c r="H104" s="414"/>
      <c r="I104" s="415"/>
      <c r="J104" s="420"/>
      <c r="K104" s="415"/>
      <c r="L104" s="416"/>
      <c r="M104" s="414"/>
      <c r="R104" s="394">
        <f t="shared" si="29"/>
        <v>39.666666666667481</v>
      </c>
      <c r="AI104" s="98">
        <v>13</v>
      </c>
      <c r="AJ104" s="93">
        <v>0.82</v>
      </c>
      <c r="AK104" s="94">
        <v>0.82</v>
      </c>
      <c r="AL104" s="94">
        <v>0.82</v>
      </c>
      <c r="AM104" s="94">
        <v>0.82</v>
      </c>
      <c r="AN104" s="94">
        <v>0.82</v>
      </c>
      <c r="AO104" s="94">
        <v>0.82</v>
      </c>
      <c r="AP104" s="94">
        <v>0.82</v>
      </c>
      <c r="AQ104" s="95">
        <v>0.82</v>
      </c>
      <c r="AT104" s="98">
        <v>-5</v>
      </c>
      <c r="AU104" s="114">
        <v>0.38</v>
      </c>
      <c r="AV104" s="112">
        <v>0.38</v>
      </c>
      <c r="AW104" s="112">
        <v>0.35</v>
      </c>
      <c r="AX104" s="112">
        <v>0.3</v>
      </c>
      <c r="AY104" s="112">
        <v>0.3</v>
      </c>
      <c r="AZ104" s="112">
        <v>0.3</v>
      </c>
      <c r="BA104" s="112">
        <v>0.3</v>
      </c>
      <c r="BB104" s="115">
        <v>0.3</v>
      </c>
      <c r="BC104" s="98">
        <v>-5</v>
      </c>
      <c r="BD104" s="93">
        <v>0.66500000000000004</v>
      </c>
      <c r="BE104" s="94">
        <v>0.61499999999999999</v>
      </c>
      <c r="BF104" s="94">
        <v>0.55000000000000004</v>
      </c>
      <c r="BG104" s="94">
        <v>0.5</v>
      </c>
      <c r="BH104" s="94">
        <v>0.46</v>
      </c>
      <c r="BI104" s="94">
        <v>0.5</v>
      </c>
      <c r="BJ104" s="94">
        <v>0.47</v>
      </c>
      <c r="BK104" s="95">
        <v>0.47</v>
      </c>
      <c r="BL104" s="123">
        <v>-5</v>
      </c>
      <c r="BM104" s="93">
        <v>0</v>
      </c>
      <c r="BN104" s="94">
        <v>0</v>
      </c>
      <c r="BO104" s="94">
        <v>0</v>
      </c>
      <c r="BP104" s="94">
        <v>0</v>
      </c>
      <c r="BQ104" s="94">
        <v>0</v>
      </c>
      <c r="BR104" s="94">
        <v>0</v>
      </c>
      <c r="BS104" s="94">
        <v>0</v>
      </c>
      <c r="BT104" s="95">
        <v>0</v>
      </c>
      <c r="BU104" s="124">
        <v>-5</v>
      </c>
      <c r="BV104" s="120">
        <v>0</v>
      </c>
      <c r="BW104" s="121">
        <v>0</v>
      </c>
      <c r="BX104" s="121">
        <v>0</v>
      </c>
      <c r="BY104" s="121">
        <v>0</v>
      </c>
      <c r="BZ104" s="121">
        <v>0</v>
      </c>
      <c r="CA104" s="121">
        <v>0</v>
      </c>
      <c r="CB104" s="121">
        <v>0</v>
      </c>
      <c r="CC104" s="122">
        <v>0</v>
      </c>
    </row>
    <row r="105" spans="1:81" ht="14.25">
      <c r="A105" s="413"/>
      <c r="B105" s="413"/>
      <c r="C105" s="414"/>
      <c r="D105" s="413"/>
      <c r="E105" s="414"/>
      <c r="F105" s="413"/>
      <c r="G105" s="414"/>
      <c r="H105" s="414"/>
      <c r="I105" s="415"/>
      <c r="J105" s="420"/>
      <c r="K105" s="415"/>
      <c r="L105" s="416"/>
      <c r="M105" s="414"/>
      <c r="R105" s="394">
        <f t="shared" si="29"/>
        <v>40.055555555556367</v>
      </c>
      <c r="AI105" s="98">
        <v>14</v>
      </c>
      <c r="AJ105" s="93">
        <v>0.82</v>
      </c>
      <c r="AK105" s="94">
        <v>0.82</v>
      </c>
      <c r="AL105" s="94">
        <v>0.82</v>
      </c>
      <c r="AM105" s="94">
        <v>0.82</v>
      </c>
      <c r="AN105" s="94">
        <v>0.82</v>
      </c>
      <c r="AO105" s="94">
        <v>0.82</v>
      </c>
      <c r="AP105" s="94">
        <v>0.82</v>
      </c>
      <c r="AQ105" s="95">
        <v>0.82</v>
      </c>
      <c r="AT105" s="98">
        <v>-4</v>
      </c>
      <c r="AU105" s="114">
        <v>0.38</v>
      </c>
      <c r="AV105" s="112">
        <v>0.38</v>
      </c>
      <c r="AW105" s="112">
        <v>0.35</v>
      </c>
      <c r="AX105" s="112">
        <v>0.3</v>
      </c>
      <c r="AY105" s="112">
        <v>0.3</v>
      </c>
      <c r="AZ105" s="112">
        <v>0.3</v>
      </c>
      <c r="BA105" s="112">
        <v>0.3</v>
      </c>
      <c r="BB105" s="115">
        <v>0.3</v>
      </c>
      <c r="BC105" s="98">
        <v>-4</v>
      </c>
      <c r="BD105" s="93">
        <v>0.67200000000000004</v>
      </c>
      <c r="BE105" s="94">
        <v>0.622</v>
      </c>
      <c r="BF105" s="94">
        <v>0.55000000000000004</v>
      </c>
      <c r="BG105" s="94">
        <v>0.5</v>
      </c>
      <c r="BH105" s="94">
        <v>0.46</v>
      </c>
      <c r="BI105" s="94">
        <v>0.5</v>
      </c>
      <c r="BJ105" s="94">
        <v>0.47</v>
      </c>
      <c r="BK105" s="95">
        <v>0.47</v>
      </c>
      <c r="BL105" s="123">
        <v>-4</v>
      </c>
      <c r="BM105" s="93">
        <v>0</v>
      </c>
      <c r="BN105" s="94">
        <v>0</v>
      </c>
      <c r="BO105" s="94">
        <v>0</v>
      </c>
      <c r="BP105" s="94">
        <v>0</v>
      </c>
      <c r="BQ105" s="94">
        <v>0</v>
      </c>
      <c r="BR105" s="94">
        <v>0</v>
      </c>
      <c r="BS105" s="94">
        <v>0</v>
      </c>
      <c r="BT105" s="95">
        <v>0</v>
      </c>
      <c r="BU105" s="124">
        <v>-4</v>
      </c>
      <c r="BV105" s="120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2">
        <v>0</v>
      </c>
    </row>
    <row r="106" spans="1:81" ht="14.25">
      <c r="A106" s="413"/>
      <c r="B106" s="413"/>
      <c r="C106" s="414"/>
      <c r="D106" s="413"/>
      <c r="E106" s="414"/>
      <c r="F106" s="413"/>
      <c r="G106" s="414"/>
      <c r="H106" s="414"/>
      <c r="I106" s="415"/>
      <c r="J106" s="420"/>
      <c r="K106" s="415"/>
      <c r="L106" s="416"/>
      <c r="M106" s="414"/>
      <c r="R106" s="394">
        <f t="shared" si="29"/>
        <v>40.444444444445253</v>
      </c>
      <c r="AI106" s="98">
        <v>15</v>
      </c>
      <c r="AJ106" s="93">
        <v>0.82</v>
      </c>
      <c r="AK106" s="94">
        <v>0.82</v>
      </c>
      <c r="AL106" s="94">
        <v>0.82</v>
      </c>
      <c r="AM106" s="94">
        <v>0.82</v>
      </c>
      <c r="AN106" s="94">
        <v>0.82</v>
      </c>
      <c r="AO106" s="94">
        <v>0.82</v>
      </c>
      <c r="AP106" s="94">
        <v>0.82</v>
      </c>
      <c r="AQ106" s="95">
        <v>0.82</v>
      </c>
      <c r="AT106" s="98">
        <v>-3</v>
      </c>
      <c r="AU106" s="114">
        <v>0.38</v>
      </c>
      <c r="AV106" s="112">
        <v>0.38</v>
      </c>
      <c r="AW106" s="112">
        <v>0.35</v>
      </c>
      <c r="AX106" s="112">
        <v>0.3</v>
      </c>
      <c r="AY106" s="112">
        <v>0.3</v>
      </c>
      <c r="AZ106" s="112">
        <v>0.3</v>
      </c>
      <c r="BA106" s="112">
        <v>0.3</v>
      </c>
      <c r="BB106" s="115">
        <v>0.3</v>
      </c>
      <c r="BC106" s="98">
        <v>-3</v>
      </c>
      <c r="BD106" s="93">
        <v>0.67900000000000005</v>
      </c>
      <c r="BE106" s="94">
        <v>0.629</v>
      </c>
      <c r="BF106" s="94">
        <v>0.55000000000000004</v>
      </c>
      <c r="BG106" s="94">
        <v>0.5</v>
      </c>
      <c r="BH106" s="94">
        <v>0.46</v>
      </c>
      <c r="BI106" s="94">
        <v>0.5</v>
      </c>
      <c r="BJ106" s="94">
        <v>0.47</v>
      </c>
      <c r="BK106" s="95">
        <v>0.47</v>
      </c>
      <c r="BL106" s="123">
        <v>-3</v>
      </c>
      <c r="BM106" s="93">
        <v>0</v>
      </c>
      <c r="BN106" s="94">
        <v>0</v>
      </c>
      <c r="BO106" s="94">
        <v>0</v>
      </c>
      <c r="BP106" s="94">
        <v>0</v>
      </c>
      <c r="BQ106" s="94">
        <v>0</v>
      </c>
      <c r="BR106" s="94">
        <v>0</v>
      </c>
      <c r="BS106" s="94">
        <v>0</v>
      </c>
      <c r="BT106" s="95">
        <v>0</v>
      </c>
      <c r="BU106" s="124">
        <v>-3</v>
      </c>
      <c r="BV106" s="120">
        <v>0</v>
      </c>
      <c r="BW106" s="121">
        <v>0</v>
      </c>
      <c r="BX106" s="121">
        <v>0</v>
      </c>
      <c r="BY106" s="121">
        <v>0</v>
      </c>
      <c r="BZ106" s="121">
        <v>0</v>
      </c>
      <c r="CA106" s="121">
        <v>0</v>
      </c>
      <c r="CB106" s="121">
        <v>0</v>
      </c>
      <c r="CC106" s="122">
        <v>0</v>
      </c>
    </row>
    <row r="107" spans="1:81" ht="14.25">
      <c r="A107" s="413"/>
      <c r="B107" s="413"/>
      <c r="C107" s="414"/>
      <c r="D107" s="413"/>
      <c r="E107" s="414"/>
      <c r="F107" s="413"/>
      <c r="G107" s="414"/>
      <c r="H107" s="414"/>
      <c r="I107" s="415"/>
      <c r="J107" s="420"/>
      <c r="K107" s="415"/>
      <c r="L107" s="416"/>
      <c r="M107" s="414"/>
      <c r="R107" s="394">
        <f t="shared" si="29"/>
        <v>40.833333333334139</v>
      </c>
      <c r="AI107" s="98">
        <v>16</v>
      </c>
      <c r="AJ107" s="93">
        <v>0.8</v>
      </c>
      <c r="AK107" s="94">
        <v>0.8</v>
      </c>
      <c r="AL107" s="94">
        <v>0.8</v>
      </c>
      <c r="AM107" s="94">
        <v>0.8</v>
      </c>
      <c r="AN107" s="94">
        <v>0.8</v>
      </c>
      <c r="AO107" s="94">
        <v>0.8</v>
      </c>
      <c r="AP107" s="94">
        <v>0.82</v>
      </c>
      <c r="AQ107" s="95">
        <v>0.82</v>
      </c>
      <c r="AT107" s="98">
        <v>-2</v>
      </c>
      <c r="AU107" s="114">
        <v>0.38</v>
      </c>
      <c r="AV107" s="112">
        <v>0.38</v>
      </c>
      <c r="AW107" s="112">
        <v>0.35</v>
      </c>
      <c r="AX107" s="112">
        <v>0.3</v>
      </c>
      <c r="AY107" s="112">
        <v>0.3</v>
      </c>
      <c r="AZ107" s="112">
        <v>0.3</v>
      </c>
      <c r="BA107" s="112">
        <v>0.3</v>
      </c>
      <c r="BB107" s="115">
        <v>0.3</v>
      </c>
      <c r="BC107" s="98">
        <v>-2</v>
      </c>
      <c r="BD107" s="93">
        <v>0.68600000000000005</v>
      </c>
      <c r="BE107" s="94">
        <v>0.63600000000000001</v>
      </c>
      <c r="BF107" s="94">
        <v>0.55000000000000004</v>
      </c>
      <c r="BG107" s="94">
        <v>0.5</v>
      </c>
      <c r="BH107" s="94">
        <v>0.46</v>
      </c>
      <c r="BI107" s="94">
        <v>0.5</v>
      </c>
      <c r="BJ107" s="94">
        <v>0.47</v>
      </c>
      <c r="BK107" s="95">
        <v>0.47</v>
      </c>
      <c r="BL107" s="123">
        <v>-2</v>
      </c>
      <c r="BM107" s="93">
        <v>0</v>
      </c>
      <c r="BN107" s="94">
        <v>0</v>
      </c>
      <c r="BO107" s="94">
        <v>0</v>
      </c>
      <c r="BP107" s="94">
        <v>0</v>
      </c>
      <c r="BQ107" s="94">
        <v>0</v>
      </c>
      <c r="BR107" s="94">
        <v>0</v>
      </c>
      <c r="BS107" s="94">
        <v>0</v>
      </c>
      <c r="BT107" s="95">
        <v>0</v>
      </c>
      <c r="BU107" s="124">
        <v>-2</v>
      </c>
      <c r="BV107" s="120">
        <v>0</v>
      </c>
      <c r="BW107" s="121">
        <v>0</v>
      </c>
      <c r="BX107" s="121">
        <v>0</v>
      </c>
      <c r="BY107" s="121">
        <v>0</v>
      </c>
      <c r="BZ107" s="121">
        <v>0</v>
      </c>
      <c r="CA107" s="121">
        <v>0</v>
      </c>
      <c r="CB107" s="121">
        <v>0</v>
      </c>
      <c r="CC107" s="122">
        <v>0</v>
      </c>
    </row>
    <row r="108" spans="1:81" ht="14.25">
      <c r="A108" s="413"/>
      <c r="B108" s="413"/>
      <c r="C108" s="414"/>
      <c r="D108" s="413"/>
      <c r="E108" s="414"/>
      <c r="F108" s="413"/>
      <c r="G108" s="414"/>
      <c r="H108" s="414"/>
      <c r="I108" s="415"/>
      <c r="J108" s="420"/>
      <c r="K108" s="415"/>
      <c r="L108" s="416"/>
      <c r="M108" s="414"/>
      <c r="R108" s="394">
        <f t="shared" si="29"/>
        <v>41.222222222223024</v>
      </c>
      <c r="AI108" s="98">
        <v>17</v>
      </c>
      <c r="AJ108" s="93">
        <v>0.8</v>
      </c>
      <c r="AK108" s="94">
        <v>0.8</v>
      </c>
      <c r="AL108" s="94">
        <v>0.8</v>
      </c>
      <c r="AM108" s="94">
        <v>0.8</v>
      </c>
      <c r="AN108" s="94">
        <v>0.8</v>
      </c>
      <c r="AO108" s="94">
        <v>0.8</v>
      </c>
      <c r="AP108" s="94">
        <v>0.82</v>
      </c>
      <c r="AQ108" s="95">
        <v>0.82</v>
      </c>
      <c r="AT108" s="98">
        <v>-1</v>
      </c>
      <c r="AU108" s="114">
        <v>0.38</v>
      </c>
      <c r="AV108" s="112">
        <v>0.38</v>
      </c>
      <c r="AW108" s="112">
        <v>0.35</v>
      </c>
      <c r="AX108" s="112">
        <v>0.3</v>
      </c>
      <c r="AY108" s="112">
        <v>0.3</v>
      </c>
      <c r="AZ108" s="112">
        <v>0.3</v>
      </c>
      <c r="BA108" s="112">
        <v>0.3</v>
      </c>
      <c r="BB108" s="115">
        <v>0.3</v>
      </c>
      <c r="BC108" s="98">
        <v>-1</v>
      </c>
      <c r="BD108" s="93">
        <v>0.69300000000000006</v>
      </c>
      <c r="BE108" s="94">
        <v>0.64300000000000002</v>
      </c>
      <c r="BF108" s="94">
        <v>0.55000000000000004</v>
      </c>
      <c r="BG108" s="94">
        <v>0.5</v>
      </c>
      <c r="BH108" s="94">
        <v>0.46</v>
      </c>
      <c r="BI108" s="94">
        <v>0.5</v>
      </c>
      <c r="BJ108" s="94">
        <v>0.47</v>
      </c>
      <c r="BK108" s="95">
        <v>0.47</v>
      </c>
      <c r="BL108" s="123">
        <v>-1</v>
      </c>
      <c r="BM108" s="93">
        <v>0</v>
      </c>
      <c r="BN108" s="94">
        <v>0</v>
      </c>
      <c r="BO108" s="94">
        <v>0</v>
      </c>
      <c r="BP108" s="94">
        <v>0</v>
      </c>
      <c r="BQ108" s="94">
        <v>0</v>
      </c>
      <c r="BR108" s="94">
        <v>0</v>
      </c>
      <c r="BS108" s="94">
        <v>0</v>
      </c>
      <c r="BT108" s="95">
        <v>0</v>
      </c>
      <c r="BU108" s="124">
        <v>-1</v>
      </c>
      <c r="BV108" s="120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2">
        <v>0</v>
      </c>
    </row>
    <row r="109" spans="1:81" ht="14.25">
      <c r="A109" s="413"/>
      <c r="B109" s="413"/>
      <c r="C109" s="414"/>
      <c r="D109" s="413"/>
      <c r="E109" s="414"/>
      <c r="F109" s="413"/>
      <c r="G109" s="414"/>
      <c r="H109" s="414"/>
      <c r="I109" s="415"/>
      <c r="J109" s="420"/>
      <c r="K109" s="415"/>
      <c r="L109" s="416"/>
      <c r="M109" s="414"/>
      <c r="R109" s="394">
        <f t="shared" si="29"/>
        <v>41.61111111111191</v>
      </c>
      <c r="AI109" s="98">
        <v>18</v>
      </c>
      <c r="AJ109" s="93">
        <v>0.8</v>
      </c>
      <c r="AK109" s="94">
        <v>0.8</v>
      </c>
      <c r="AL109" s="94">
        <v>0.8</v>
      </c>
      <c r="AM109" s="94">
        <v>0.8</v>
      </c>
      <c r="AN109" s="94">
        <v>0.8</v>
      </c>
      <c r="AO109" s="94">
        <v>0.8</v>
      </c>
      <c r="AP109" s="94">
        <v>0.82</v>
      </c>
      <c r="AQ109" s="95">
        <v>0.82</v>
      </c>
      <c r="AT109" s="98">
        <v>0</v>
      </c>
      <c r="AU109" s="114">
        <v>0.38</v>
      </c>
      <c r="AV109" s="112">
        <v>0.38</v>
      </c>
      <c r="AW109" s="112">
        <v>0.35</v>
      </c>
      <c r="AX109" s="112">
        <v>0.3</v>
      </c>
      <c r="AY109" s="112">
        <v>0.3</v>
      </c>
      <c r="AZ109" s="112">
        <v>0.3</v>
      </c>
      <c r="BA109" s="112">
        <v>0.3</v>
      </c>
      <c r="BB109" s="115">
        <v>0.3</v>
      </c>
      <c r="BC109" s="98">
        <v>0</v>
      </c>
      <c r="BD109" s="93">
        <v>0.7</v>
      </c>
      <c r="BE109" s="94">
        <v>0.65</v>
      </c>
      <c r="BF109" s="94">
        <v>0.55000000000000004</v>
      </c>
      <c r="BG109" s="94">
        <v>0.5</v>
      </c>
      <c r="BH109" s="94">
        <v>0.46</v>
      </c>
      <c r="BI109" s="94">
        <v>0.5</v>
      </c>
      <c r="BJ109" s="94">
        <v>0.47</v>
      </c>
      <c r="BK109" s="95">
        <v>0.47</v>
      </c>
      <c r="BL109" s="123">
        <v>0</v>
      </c>
      <c r="BM109" s="93">
        <v>0</v>
      </c>
      <c r="BN109" s="94">
        <v>0</v>
      </c>
      <c r="BO109" s="94">
        <v>0</v>
      </c>
      <c r="BP109" s="94">
        <v>0</v>
      </c>
      <c r="BQ109" s="94">
        <v>0</v>
      </c>
      <c r="BR109" s="94">
        <v>0</v>
      </c>
      <c r="BS109" s="94">
        <v>0</v>
      </c>
      <c r="BT109" s="95">
        <v>0</v>
      </c>
      <c r="BU109" s="124">
        <v>0</v>
      </c>
      <c r="BV109" s="120">
        <v>0</v>
      </c>
      <c r="BW109" s="121">
        <v>0</v>
      </c>
      <c r="BX109" s="121">
        <v>0</v>
      </c>
      <c r="BY109" s="121">
        <v>0</v>
      </c>
      <c r="BZ109" s="121">
        <v>0</v>
      </c>
      <c r="CA109" s="121">
        <v>0</v>
      </c>
      <c r="CB109" s="121">
        <v>0</v>
      </c>
      <c r="CC109" s="122">
        <v>0</v>
      </c>
    </row>
    <row r="110" spans="1:81" ht="14.25">
      <c r="A110" s="413"/>
      <c r="B110" s="413"/>
      <c r="C110" s="414"/>
      <c r="D110" s="413"/>
      <c r="E110" s="414"/>
      <c r="F110" s="413"/>
      <c r="G110" s="414"/>
      <c r="H110" s="414"/>
      <c r="I110" s="415"/>
      <c r="J110" s="420"/>
      <c r="K110" s="415"/>
      <c r="L110" s="416"/>
      <c r="M110" s="414"/>
      <c r="R110" s="394">
        <f t="shared" si="29"/>
        <v>42.000000000000796</v>
      </c>
      <c r="AI110" s="98">
        <v>19</v>
      </c>
      <c r="AJ110" s="93">
        <v>0.8</v>
      </c>
      <c r="AK110" s="94">
        <v>0.8</v>
      </c>
      <c r="AL110" s="94">
        <v>0.8</v>
      </c>
      <c r="AM110" s="94">
        <v>0.8</v>
      </c>
      <c r="AN110" s="94">
        <v>0.8</v>
      </c>
      <c r="AO110" s="94">
        <v>0.8</v>
      </c>
      <c r="AP110" s="94">
        <v>0.82</v>
      </c>
      <c r="AQ110" s="95">
        <v>0.82</v>
      </c>
      <c r="AT110" s="98">
        <v>1</v>
      </c>
      <c r="AU110" s="114">
        <v>0.38300000000000001</v>
      </c>
      <c r="AV110" s="112">
        <v>0.38300000000000001</v>
      </c>
      <c r="AW110" s="112">
        <v>0.35299999999999998</v>
      </c>
      <c r="AX110" s="112">
        <v>0.30199999999999999</v>
      </c>
      <c r="AY110" s="112">
        <v>0.30199999999999999</v>
      </c>
      <c r="AZ110" s="112">
        <v>0.30199999999999999</v>
      </c>
      <c r="BA110" s="112">
        <v>0.3</v>
      </c>
      <c r="BB110" s="115">
        <v>0.3</v>
      </c>
      <c r="BC110" s="98">
        <v>1</v>
      </c>
      <c r="BD110" s="93">
        <v>0.70699999999999996</v>
      </c>
      <c r="BE110" s="94">
        <v>0.65700000000000003</v>
      </c>
      <c r="BF110" s="94">
        <v>0.55000000000000004</v>
      </c>
      <c r="BG110" s="94">
        <v>0.5</v>
      </c>
      <c r="BH110" s="94">
        <v>0.46</v>
      </c>
      <c r="BI110" s="94">
        <v>0.5</v>
      </c>
      <c r="BJ110" s="94">
        <v>0.47</v>
      </c>
      <c r="BK110" s="95">
        <v>0.47</v>
      </c>
      <c r="BL110" s="123">
        <v>1</v>
      </c>
      <c r="BM110" s="93">
        <v>8.5000000000000006E-3</v>
      </c>
      <c r="BN110" s="94">
        <v>9.0000000000000011E-3</v>
      </c>
      <c r="BO110" s="94">
        <v>0.01</v>
      </c>
      <c r="BP110" s="94">
        <v>0.01</v>
      </c>
      <c r="BQ110" s="94">
        <v>1.0999999999999999E-2</v>
      </c>
      <c r="BR110" s="94">
        <v>1.2700000000000001E-2</v>
      </c>
      <c r="BS110" s="94">
        <v>1.4E-2</v>
      </c>
      <c r="BT110" s="95">
        <v>1.4500000000000001E-2</v>
      </c>
      <c r="BU110" s="124">
        <v>1</v>
      </c>
      <c r="BV110" s="120">
        <v>9.0000000000000011E-3</v>
      </c>
      <c r="BW110" s="121">
        <v>9.0000000000000011E-3</v>
      </c>
      <c r="BX110" s="121">
        <v>9.0000000000000011E-3</v>
      </c>
      <c r="BY110" s="121">
        <v>9.0000000000000011E-3</v>
      </c>
      <c r="BZ110" s="121">
        <v>9.0000000000000011E-3</v>
      </c>
      <c r="CA110" s="121">
        <v>9.0000000000000011E-3</v>
      </c>
      <c r="CB110" s="121">
        <v>9.0000000000000011E-3</v>
      </c>
      <c r="CC110" s="122">
        <v>9.0000000000000011E-3</v>
      </c>
    </row>
    <row r="111" spans="1:81" ht="14.25">
      <c r="A111" s="413"/>
      <c r="B111" s="413"/>
      <c r="C111" s="414"/>
      <c r="D111" s="413"/>
      <c r="E111" s="414"/>
      <c r="F111" s="413"/>
      <c r="G111" s="414"/>
      <c r="H111" s="414"/>
      <c r="I111" s="415"/>
      <c r="J111" s="413"/>
      <c r="K111" s="415"/>
      <c r="L111" s="416"/>
      <c r="M111" s="414"/>
      <c r="R111" s="394">
        <f t="shared" si="29"/>
        <v>42.388888888889682</v>
      </c>
      <c r="AI111" s="98">
        <v>20</v>
      </c>
      <c r="AJ111" s="93">
        <v>0.8</v>
      </c>
      <c r="AK111" s="94">
        <v>0.8</v>
      </c>
      <c r="AL111" s="94">
        <v>0.8</v>
      </c>
      <c r="AM111" s="94">
        <v>0.8</v>
      </c>
      <c r="AN111" s="94">
        <v>0.8</v>
      </c>
      <c r="AO111" s="94">
        <v>0.8</v>
      </c>
      <c r="AP111" s="94">
        <v>0.82</v>
      </c>
      <c r="AQ111" s="95">
        <v>0.82</v>
      </c>
      <c r="AT111" s="98">
        <v>2</v>
      </c>
      <c r="AU111" s="114">
        <v>0.38600000000000001</v>
      </c>
      <c r="AV111" s="112">
        <v>0.38600000000000001</v>
      </c>
      <c r="AW111" s="112">
        <v>0.35599999999999998</v>
      </c>
      <c r="AX111" s="112">
        <v>0.30399999999999999</v>
      </c>
      <c r="AY111" s="112">
        <v>0.30399999999999999</v>
      </c>
      <c r="AZ111" s="112">
        <v>0.30399999999999999</v>
      </c>
      <c r="BA111" s="112">
        <v>0.3</v>
      </c>
      <c r="BB111" s="115">
        <v>0.3</v>
      </c>
      <c r="BC111" s="98">
        <v>2</v>
      </c>
      <c r="BD111" s="93">
        <v>0.71399999999999997</v>
      </c>
      <c r="BE111" s="94">
        <v>0.66400000000000003</v>
      </c>
      <c r="BF111" s="94">
        <v>0.55000000000000004</v>
      </c>
      <c r="BG111" s="94">
        <v>0.5</v>
      </c>
      <c r="BH111" s="94">
        <v>0.46</v>
      </c>
      <c r="BI111" s="94">
        <v>0.5</v>
      </c>
      <c r="BJ111" s="94">
        <v>0.47</v>
      </c>
      <c r="BK111" s="95">
        <v>0.47</v>
      </c>
      <c r="BL111" s="123">
        <v>2</v>
      </c>
      <c r="BM111" s="93">
        <v>8.5000000000000006E-3</v>
      </c>
      <c r="BN111" s="94">
        <v>9.0000000000000011E-3</v>
      </c>
      <c r="BO111" s="94">
        <v>0.01</v>
      </c>
      <c r="BP111" s="94">
        <v>0.01</v>
      </c>
      <c r="BQ111" s="94">
        <v>1.0999999999999999E-2</v>
      </c>
      <c r="BR111" s="94">
        <v>1.2700000000000001E-2</v>
      </c>
      <c r="BS111" s="94">
        <v>1.4E-2</v>
      </c>
      <c r="BT111" s="95">
        <v>1.4500000000000001E-2</v>
      </c>
      <c r="BU111" s="124">
        <v>2</v>
      </c>
      <c r="BV111" s="120">
        <v>9.0000000000000011E-3</v>
      </c>
      <c r="BW111" s="121">
        <v>9.0000000000000011E-3</v>
      </c>
      <c r="BX111" s="121">
        <v>9.0000000000000011E-3</v>
      </c>
      <c r="BY111" s="121">
        <v>9.0000000000000011E-3</v>
      </c>
      <c r="BZ111" s="121">
        <v>9.0000000000000011E-3</v>
      </c>
      <c r="CA111" s="121">
        <v>9.0000000000000011E-3</v>
      </c>
      <c r="CB111" s="121">
        <v>9.0000000000000011E-3</v>
      </c>
      <c r="CC111" s="122">
        <v>9.0000000000000011E-3</v>
      </c>
    </row>
    <row r="112" spans="1:81" ht="14.25">
      <c r="A112" s="413"/>
      <c r="B112" s="413"/>
      <c r="C112" s="414"/>
      <c r="D112" s="413"/>
      <c r="E112" s="414"/>
      <c r="F112" s="413"/>
      <c r="G112" s="414"/>
      <c r="H112" s="414"/>
      <c r="I112" s="415"/>
      <c r="J112" s="413"/>
      <c r="K112" s="415"/>
      <c r="L112" s="416"/>
      <c r="M112" s="414"/>
      <c r="R112" s="394">
        <f t="shared" si="29"/>
        <v>42.777777777778567</v>
      </c>
      <c r="AI112" s="98">
        <v>21</v>
      </c>
      <c r="AJ112" s="93">
        <v>0.8</v>
      </c>
      <c r="AK112" s="94">
        <v>0.8</v>
      </c>
      <c r="AL112" s="94">
        <v>0.8</v>
      </c>
      <c r="AM112" s="94">
        <v>0.8</v>
      </c>
      <c r="AN112" s="94">
        <v>0.8</v>
      </c>
      <c r="AO112" s="94">
        <v>0.8</v>
      </c>
      <c r="AP112" s="94">
        <v>0.82</v>
      </c>
      <c r="AQ112" s="95">
        <v>0.82</v>
      </c>
      <c r="AT112" s="98">
        <v>3</v>
      </c>
      <c r="AU112" s="114">
        <v>0.38900000000000001</v>
      </c>
      <c r="AV112" s="112">
        <v>0.38900000000000001</v>
      </c>
      <c r="AW112" s="112">
        <v>0.35899999999999999</v>
      </c>
      <c r="AX112" s="112">
        <v>0.30599999999999999</v>
      </c>
      <c r="AY112" s="112">
        <v>0.30599999999999999</v>
      </c>
      <c r="AZ112" s="112">
        <v>0.30599999999999999</v>
      </c>
      <c r="BA112" s="112">
        <v>0.3</v>
      </c>
      <c r="BB112" s="115">
        <v>0.3</v>
      </c>
      <c r="BC112" s="98">
        <v>3</v>
      </c>
      <c r="BD112" s="93">
        <v>0.72099999999999997</v>
      </c>
      <c r="BE112" s="94">
        <v>0.67100000000000004</v>
      </c>
      <c r="BF112" s="94">
        <v>0.61</v>
      </c>
      <c r="BG112" s="94">
        <v>0.52</v>
      </c>
      <c r="BH112" s="94">
        <v>0.5</v>
      </c>
      <c r="BI112" s="94">
        <v>0.55000000000000004</v>
      </c>
      <c r="BJ112" s="94">
        <v>0.5</v>
      </c>
      <c r="BK112" s="95">
        <v>0.5</v>
      </c>
      <c r="BL112" s="123">
        <v>3</v>
      </c>
      <c r="BM112" s="93">
        <v>8.5000000000000006E-3</v>
      </c>
      <c r="BN112" s="94">
        <v>9.0000000000000011E-3</v>
      </c>
      <c r="BO112" s="94">
        <v>0.01</v>
      </c>
      <c r="BP112" s="94">
        <v>0.01</v>
      </c>
      <c r="BQ112" s="94">
        <v>1.0999999999999999E-2</v>
      </c>
      <c r="BR112" s="94">
        <v>1.2700000000000001E-2</v>
      </c>
      <c r="BS112" s="94">
        <v>1.4E-2</v>
      </c>
      <c r="BT112" s="95">
        <v>1.4500000000000001E-2</v>
      </c>
      <c r="BU112" s="124">
        <v>3</v>
      </c>
      <c r="BV112" s="120">
        <v>9.0000000000000011E-3</v>
      </c>
      <c r="BW112" s="121">
        <v>9.0000000000000011E-3</v>
      </c>
      <c r="BX112" s="121">
        <v>9.0000000000000011E-3</v>
      </c>
      <c r="BY112" s="121">
        <v>9.0000000000000011E-3</v>
      </c>
      <c r="BZ112" s="121">
        <v>9.0000000000000011E-3</v>
      </c>
      <c r="CA112" s="121">
        <v>9.0000000000000011E-3</v>
      </c>
      <c r="CB112" s="121">
        <v>9.0000000000000011E-3</v>
      </c>
      <c r="CC112" s="122">
        <v>9.0000000000000011E-3</v>
      </c>
    </row>
    <row r="113" spans="1:81" ht="14.25">
      <c r="A113" s="413"/>
      <c r="B113" s="413"/>
      <c r="C113" s="414"/>
      <c r="D113" s="413"/>
      <c r="E113" s="414"/>
      <c r="F113" s="413"/>
      <c r="G113" s="414"/>
      <c r="H113" s="414"/>
      <c r="I113" s="415"/>
      <c r="J113" s="413"/>
      <c r="K113" s="415"/>
      <c r="L113" s="416"/>
      <c r="M113" s="414"/>
      <c r="R113" s="394">
        <f t="shared" si="29"/>
        <v>43.166666666667453</v>
      </c>
      <c r="AI113" s="98">
        <v>22</v>
      </c>
      <c r="AJ113" s="93">
        <v>0.8</v>
      </c>
      <c r="AK113" s="94">
        <v>0.8</v>
      </c>
      <c r="AL113" s="94">
        <v>0.8</v>
      </c>
      <c r="AM113" s="94">
        <v>0.8</v>
      </c>
      <c r="AN113" s="94">
        <v>0.8</v>
      </c>
      <c r="AO113" s="94">
        <v>0.8</v>
      </c>
      <c r="AP113" s="94">
        <v>0.82</v>
      </c>
      <c r="AQ113" s="95">
        <v>0.82</v>
      </c>
      <c r="AT113" s="98">
        <v>4</v>
      </c>
      <c r="AU113" s="114">
        <v>0.39200000000000002</v>
      </c>
      <c r="AV113" s="112">
        <v>0.39200000000000002</v>
      </c>
      <c r="AW113" s="112">
        <v>0.36199999999999999</v>
      </c>
      <c r="AX113" s="112">
        <v>0.308</v>
      </c>
      <c r="AY113" s="112">
        <v>0.308</v>
      </c>
      <c r="AZ113" s="112">
        <v>0.308</v>
      </c>
      <c r="BA113" s="112">
        <v>0.32</v>
      </c>
      <c r="BB113" s="115">
        <v>0.32</v>
      </c>
      <c r="BC113" s="98">
        <v>4</v>
      </c>
      <c r="BD113" s="93">
        <v>0.72799999999999998</v>
      </c>
      <c r="BE113" s="94">
        <v>0.67800000000000005</v>
      </c>
      <c r="BF113" s="94">
        <v>0.65</v>
      </c>
      <c r="BG113" s="94">
        <v>0.52</v>
      </c>
      <c r="BH113" s="94">
        <v>0.5</v>
      </c>
      <c r="BI113" s="94">
        <v>0.55000000000000004</v>
      </c>
      <c r="BJ113" s="94">
        <v>0.5</v>
      </c>
      <c r="BK113" s="95">
        <v>0.5</v>
      </c>
      <c r="BL113" s="123">
        <v>4</v>
      </c>
      <c r="BM113" s="93">
        <v>8.5000000000000006E-3</v>
      </c>
      <c r="BN113" s="94">
        <v>9.0000000000000011E-3</v>
      </c>
      <c r="BO113" s="94">
        <v>0.01</v>
      </c>
      <c r="BP113" s="94">
        <v>0.01</v>
      </c>
      <c r="BQ113" s="94">
        <v>1.0999999999999999E-2</v>
      </c>
      <c r="BR113" s="94">
        <v>1.2700000000000001E-2</v>
      </c>
      <c r="BS113" s="94">
        <v>1.4E-2</v>
      </c>
      <c r="BT113" s="95">
        <v>1.4500000000000001E-2</v>
      </c>
      <c r="BU113" s="124">
        <v>4</v>
      </c>
      <c r="BV113" s="120">
        <v>9.0000000000000011E-3</v>
      </c>
      <c r="BW113" s="121">
        <v>9.0000000000000011E-3</v>
      </c>
      <c r="BX113" s="121">
        <v>9.0000000000000011E-3</v>
      </c>
      <c r="BY113" s="121">
        <v>9.0000000000000011E-3</v>
      </c>
      <c r="BZ113" s="121">
        <v>9.0000000000000011E-3</v>
      </c>
      <c r="CA113" s="121">
        <v>9.0000000000000011E-3</v>
      </c>
      <c r="CB113" s="121">
        <v>9.0000000000000011E-3</v>
      </c>
      <c r="CC113" s="122">
        <v>9.0000000000000011E-3</v>
      </c>
    </row>
    <row r="114" spans="1:81" ht="14.25">
      <c r="A114" s="413"/>
      <c r="B114" s="413"/>
      <c r="C114" s="414"/>
      <c r="D114" s="413"/>
      <c r="E114" s="414"/>
      <c r="F114" s="413"/>
      <c r="G114" s="414"/>
      <c r="H114" s="414"/>
      <c r="I114" s="415"/>
      <c r="J114" s="413"/>
      <c r="K114" s="415"/>
      <c r="L114" s="416"/>
      <c r="M114" s="414"/>
      <c r="R114" s="394">
        <f t="shared" si="29"/>
        <v>43.555555555556339</v>
      </c>
      <c r="AI114" s="98">
        <v>23</v>
      </c>
      <c r="AJ114" s="93">
        <v>0.8</v>
      </c>
      <c r="AK114" s="94">
        <v>0.8</v>
      </c>
      <c r="AL114" s="94">
        <v>0.8</v>
      </c>
      <c r="AM114" s="94">
        <v>0.8</v>
      </c>
      <c r="AN114" s="94">
        <v>0.8</v>
      </c>
      <c r="AO114" s="94">
        <v>0.8</v>
      </c>
      <c r="AP114" s="94">
        <v>0.82</v>
      </c>
      <c r="AQ114" s="95">
        <v>0.82</v>
      </c>
      <c r="AT114" s="98">
        <v>5</v>
      </c>
      <c r="AU114" s="114">
        <v>0.39500000000000002</v>
      </c>
      <c r="AV114" s="112">
        <v>0.39500000000000002</v>
      </c>
      <c r="AW114" s="112">
        <v>0.36499999999999999</v>
      </c>
      <c r="AX114" s="112">
        <v>0.31</v>
      </c>
      <c r="AY114" s="112">
        <v>0.31</v>
      </c>
      <c r="AZ114" s="112">
        <v>0.31</v>
      </c>
      <c r="BA114" s="112">
        <v>0.32</v>
      </c>
      <c r="BB114" s="115">
        <v>0.32</v>
      </c>
      <c r="BC114" s="98">
        <v>5</v>
      </c>
      <c r="BD114" s="93">
        <v>0.73499999999999999</v>
      </c>
      <c r="BE114" s="94">
        <v>0.68500000000000005</v>
      </c>
      <c r="BF114" s="94">
        <v>0.65</v>
      </c>
      <c r="BG114" s="94">
        <v>0.52</v>
      </c>
      <c r="BH114" s="94">
        <v>0.5</v>
      </c>
      <c r="BI114" s="94">
        <v>0.55000000000000004</v>
      </c>
      <c r="BJ114" s="94">
        <v>0.52</v>
      </c>
      <c r="BK114" s="95">
        <v>0.52</v>
      </c>
      <c r="BL114" s="123">
        <v>5</v>
      </c>
      <c r="BM114" s="93">
        <v>8.5000000000000006E-3</v>
      </c>
      <c r="BN114" s="94">
        <v>9.0000000000000011E-3</v>
      </c>
      <c r="BO114" s="94">
        <v>0.01</v>
      </c>
      <c r="BP114" s="94">
        <v>0.01</v>
      </c>
      <c r="BQ114" s="94">
        <v>1.0999999999999999E-2</v>
      </c>
      <c r="BR114" s="94">
        <v>1.2700000000000001E-2</v>
      </c>
      <c r="BS114" s="94">
        <v>1.4E-2</v>
      </c>
      <c r="BT114" s="95">
        <v>1.4500000000000001E-2</v>
      </c>
      <c r="BU114" s="124">
        <v>5</v>
      </c>
      <c r="BV114" s="120">
        <v>9.0000000000000011E-3</v>
      </c>
      <c r="BW114" s="121">
        <v>9.0000000000000011E-3</v>
      </c>
      <c r="BX114" s="121">
        <v>9.0000000000000011E-3</v>
      </c>
      <c r="BY114" s="121">
        <v>9.0000000000000011E-3</v>
      </c>
      <c r="BZ114" s="121">
        <v>9.0000000000000011E-3</v>
      </c>
      <c r="CA114" s="121">
        <v>9.0000000000000011E-3</v>
      </c>
      <c r="CB114" s="121">
        <v>9.0000000000000011E-3</v>
      </c>
      <c r="CC114" s="122">
        <v>9.0000000000000011E-3</v>
      </c>
    </row>
    <row r="115" spans="1:81" ht="14.25">
      <c r="A115" s="413"/>
      <c r="B115" s="413"/>
      <c r="C115" s="414"/>
      <c r="D115" s="413"/>
      <c r="E115" s="414"/>
      <c r="F115" s="413"/>
      <c r="G115" s="414"/>
      <c r="H115" s="414"/>
      <c r="I115" s="415"/>
      <c r="J115" s="413"/>
      <c r="K115" s="415"/>
      <c r="L115" s="416"/>
      <c r="M115" s="414"/>
      <c r="R115" s="394">
        <f t="shared" si="29"/>
        <v>43.944444444445224</v>
      </c>
      <c r="AI115" s="98">
        <v>24</v>
      </c>
      <c r="AJ115" s="93">
        <v>0.8</v>
      </c>
      <c r="AK115" s="94">
        <v>0.8</v>
      </c>
      <c r="AL115" s="94">
        <v>0.8</v>
      </c>
      <c r="AM115" s="94">
        <v>0.8</v>
      </c>
      <c r="AN115" s="94">
        <v>0.8</v>
      </c>
      <c r="AO115" s="94">
        <v>0.8</v>
      </c>
      <c r="AP115" s="94">
        <v>0.82</v>
      </c>
      <c r="AQ115" s="95">
        <v>0.82</v>
      </c>
      <c r="AT115" s="98">
        <v>6</v>
      </c>
      <c r="AU115" s="114">
        <v>0.39800000000000002</v>
      </c>
      <c r="AV115" s="112">
        <v>0.39800000000000002</v>
      </c>
      <c r="AW115" s="112">
        <v>0.36799999999999999</v>
      </c>
      <c r="AX115" s="112">
        <v>0.312</v>
      </c>
      <c r="AY115" s="112">
        <v>0.312</v>
      </c>
      <c r="AZ115" s="112">
        <v>0.312</v>
      </c>
      <c r="BA115" s="112">
        <v>0.35</v>
      </c>
      <c r="BB115" s="115">
        <v>0.35</v>
      </c>
      <c r="BC115" s="98">
        <v>6</v>
      </c>
      <c r="BD115" s="93">
        <v>0.74199999999999999</v>
      </c>
      <c r="BE115" s="94">
        <v>0.69200000000000006</v>
      </c>
      <c r="BF115" s="94">
        <v>0.68</v>
      </c>
      <c r="BG115" s="94">
        <v>0.55000000000000004</v>
      </c>
      <c r="BH115" s="94">
        <v>0.52</v>
      </c>
      <c r="BI115" s="94">
        <v>0.6</v>
      </c>
      <c r="BJ115" s="94">
        <v>0.52</v>
      </c>
      <c r="BK115" s="95">
        <v>0.52</v>
      </c>
      <c r="BL115" s="123">
        <v>6</v>
      </c>
      <c r="BM115" s="93">
        <v>8.5000000000000006E-3</v>
      </c>
      <c r="BN115" s="94">
        <v>9.0000000000000011E-3</v>
      </c>
      <c r="BO115" s="94">
        <v>0.01</v>
      </c>
      <c r="BP115" s="94">
        <v>0.01</v>
      </c>
      <c r="BQ115" s="94">
        <v>1.0999999999999999E-2</v>
      </c>
      <c r="BR115" s="94">
        <v>1.2700000000000001E-2</v>
      </c>
      <c r="BS115" s="94">
        <v>1.4E-2</v>
      </c>
      <c r="BT115" s="95">
        <v>1.4500000000000001E-2</v>
      </c>
      <c r="BU115" s="124">
        <v>6</v>
      </c>
      <c r="BV115" s="120">
        <v>9.0000000000000011E-3</v>
      </c>
      <c r="BW115" s="121">
        <v>9.0000000000000011E-3</v>
      </c>
      <c r="BX115" s="121">
        <v>9.0000000000000011E-3</v>
      </c>
      <c r="BY115" s="121">
        <v>9.0000000000000011E-3</v>
      </c>
      <c r="BZ115" s="121">
        <v>9.0000000000000011E-3</v>
      </c>
      <c r="CA115" s="121">
        <v>9.0000000000000011E-3</v>
      </c>
      <c r="CB115" s="121">
        <v>9.0000000000000011E-3</v>
      </c>
      <c r="CC115" s="122">
        <v>9.0000000000000011E-3</v>
      </c>
    </row>
    <row r="116" spans="1:81" ht="14.25">
      <c r="A116" s="413"/>
      <c r="B116" s="413"/>
      <c r="C116" s="414"/>
      <c r="D116" s="413"/>
      <c r="E116" s="414"/>
      <c r="F116" s="413"/>
      <c r="G116" s="414"/>
      <c r="H116" s="414"/>
      <c r="I116" s="415"/>
      <c r="J116" s="413"/>
      <c r="K116" s="415"/>
      <c r="L116" s="416"/>
      <c r="M116" s="414"/>
      <c r="R116" s="394">
        <f t="shared" si="29"/>
        <v>44.33333333333411</v>
      </c>
      <c r="AI116" s="98">
        <v>25</v>
      </c>
      <c r="AJ116" s="93">
        <v>0.8</v>
      </c>
      <c r="AK116" s="94">
        <v>0.8</v>
      </c>
      <c r="AL116" s="94">
        <v>0.8</v>
      </c>
      <c r="AM116" s="94">
        <v>0.8</v>
      </c>
      <c r="AN116" s="94">
        <v>0.8</v>
      </c>
      <c r="AO116" s="94">
        <v>0.8</v>
      </c>
      <c r="AP116" s="94">
        <v>0.82</v>
      </c>
      <c r="AQ116" s="95">
        <v>0.82</v>
      </c>
      <c r="AT116" s="98">
        <v>7</v>
      </c>
      <c r="AU116" s="114">
        <v>0.40100000000000002</v>
      </c>
      <c r="AV116" s="112">
        <v>0.40100000000000002</v>
      </c>
      <c r="AW116" s="112">
        <v>0.371</v>
      </c>
      <c r="AX116" s="112">
        <v>0.314</v>
      </c>
      <c r="AY116" s="112">
        <v>0.314</v>
      </c>
      <c r="AZ116" s="112">
        <v>0.314</v>
      </c>
      <c r="BA116" s="112">
        <v>0.35</v>
      </c>
      <c r="BB116" s="115">
        <v>0.35</v>
      </c>
      <c r="BC116" s="98">
        <v>7</v>
      </c>
      <c r="BD116" s="93">
        <v>0.749</v>
      </c>
      <c r="BE116" s="94">
        <v>0.69900000000000007</v>
      </c>
      <c r="BF116" s="94">
        <v>0.68</v>
      </c>
      <c r="BG116" s="94">
        <v>0.55000000000000004</v>
      </c>
      <c r="BH116" s="94">
        <v>0.52</v>
      </c>
      <c r="BI116" s="94">
        <v>0.6</v>
      </c>
      <c r="BJ116" s="94">
        <v>0.65</v>
      </c>
      <c r="BK116" s="95">
        <v>0.65</v>
      </c>
      <c r="BL116" s="123">
        <v>7</v>
      </c>
      <c r="BM116" s="93">
        <v>8.5000000000000006E-3</v>
      </c>
      <c r="BN116" s="94">
        <v>9.0000000000000011E-3</v>
      </c>
      <c r="BO116" s="94">
        <v>0.01</v>
      </c>
      <c r="BP116" s="94">
        <v>0.01</v>
      </c>
      <c r="BQ116" s="94">
        <v>1.0999999999999999E-2</v>
      </c>
      <c r="BR116" s="94">
        <v>1.2700000000000001E-2</v>
      </c>
      <c r="BS116" s="94">
        <v>1.4E-2</v>
      </c>
      <c r="BT116" s="95">
        <v>1.4500000000000001E-2</v>
      </c>
      <c r="BU116" s="124">
        <v>7</v>
      </c>
      <c r="BV116" s="120">
        <v>9.0000000000000011E-3</v>
      </c>
      <c r="BW116" s="121">
        <v>9.0000000000000011E-3</v>
      </c>
      <c r="BX116" s="121">
        <v>9.0000000000000011E-3</v>
      </c>
      <c r="BY116" s="121">
        <v>9.0000000000000011E-3</v>
      </c>
      <c r="BZ116" s="121">
        <v>9.0000000000000011E-3</v>
      </c>
      <c r="CA116" s="121">
        <v>9.0000000000000011E-3</v>
      </c>
      <c r="CB116" s="121">
        <v>9.0000000000000011E-3</v>
      </c>
      <c r="CC116" s="122">
        <v>9.0000000000000011E-3</v>
      </c>
    </row>
    <row r="117" spans="1:81" ht="14.25">
      <c r="A117" s="413"/>
      <c r="B117" s="413"/>
      <c r="C117" s="414"/>
      <c r="D117" s="413"/>
      <c r="E117" s="414"/>
      <c r="F117" s="413"/>
      <c r="G117" s="414"/>
      <c r="H117" s="414"/>
      <c r="I117" s="415"/>
      <c r="J117" s="413"/>
      <c r="K117" s="415"/>
      <c r="L117" s="416"/>
      <c r="M117" s="414"/>
      <c r="R117" s="394">
        <f t="shared" si="29"/>
        <v>44.722222222222996</v>
      </c>
      <c r="AI117" s="98">
        <v>26</v>
      </c>
      <c r="AJ117" s="93">
        <v>0.8</v>
      </c>
      <c r="AK117" s="94">
        <v>0.8</v>
      </c>
      <c r="AL117" s="94">
        <v>0.8</v>
      </c>
      <c r="AM117" s="94">
        <v>0.8</v>
      </c>
      <c r="AN117" s="94">
        <v>0.8</v>
      </c>
      <c r="AO117" s="94">
        <v>0.8</v>
      </c>
      <c r="AP117" s="94">
        <v>0.82</v>
      </c>
      <c r="AQ117" s="95">
        <v>0.82</v>
      </c>
      <c r="AT117" s="98">
        <v>8</v>
      </c>
      <c r="AU117" s="114">
        <v>0.40400000000000003</v>
      </c>
      <c r="AV117" s="112">
        <v>0.40400000000000003</v>
      </c>
      <c r="AW117" s="112">
        <v>0.374</v>
      </c>
      <c r="AX117" s="112">
        <v>0.316</v>
      </c>
      <c r="AY117" s="112">
        <v>0.316</v>
      </c>
      <c r="AZ117" s="112">
        <v>0.316</v>
      </c>
      <c r="BA117" s="112">
        <v>0.35</v>
      </c>
      <c r="BB117" s="115">
        <v>0.35</v>
      </c>
      <c r="BC117" s="98">
        <v>8</v>
      </c>
      <c r="BD117" s="93">
        <v>0.75600000000000001</v>
      </c>
      <c r="BE117" s="94">
        <v>0.70599999999999996</v>
      </c>
      <c r="BF117" s="94">
        <v>0.68</v>
      </c>
      <c r="BG117" s="94">
        <v>0.55000000000000004</v>
      </c>
      <c r="BH117" s="94">
        <v>0.52</v>
      </c>
      <c r="BI117" s="94">
        <v>0.6</v>
      </c>
      <c r="BJ117" s="94">
        <v>0.65</v>
      </c>
      <c r="BK117" s="95">
        <v>0.65</v>
      </c>
      <c r="BL117" s="123">
        <v>8</v>
      </c>
      <c r="BM117" s="93">
        <v>8.5000000000000006E-3</v>
      </c>
      <c r="BN117" s="94">
        <v>9.0000000000000011E-3</v>
      </c>
      <c r="BO117" s="94">
        <v>0.01</v>
      </c>
      <c r="BP117" s="94">
        <v>0.01</v>
      </c>
      <c r="BQ117" s="94">
        <v>1.0999999999999999E-2</v>
      </c>
      <c r="BR117" s="94">
        <v>1.2700000000000001E-2</v>
      </c>
      <c r="BS117" s="94">
        <v>1.4E-2</v>
      </c>
      <c r="BT117" s="95">
        <v>1.4500000000000001E-2</v>
      </c>
      <c r="BU117" s="124">
        <v>8</v>
      </c>
      <c r="BV117" s="120">
        <v>9.0000000000000011E-3</v>
      </c>
      <c r="BW117" s="121">
        <v>9.0000000000000011E-3</v>
      </c>
      <c r="BX117" s="121">
        <v>9.0000000000000011E-3</v>
      </c>
      <c r="BY117" s="121">
        <v>9.0000000000000011E-3</v>
      </c>
      <c r="BZ117" s="121">
        <v>9.0000000000000011E-3</v>
      </c>
      <c r="CA117" s="121">
        <v>9.0000000000000011E-3</v>
      </c>
      <c r="CB117" s="121">
        <v>9.0000000000000011E-3</v>
      </c>
      <c r="CC117" s="122">
        <v>9.0000000000000011E-3</v>
      </c>
    </row>
    <row r="118" spans="1:81" ht="14.25">
      <c r="A118" s="413"/>
      <c r="B118" s="413"/>
      <c r="C118" s="414"/>
      <c r="D118" s="413"/>
      <c r="E118" s="414"/>
      <c r="F118" s="413"/>
      <c r="G118" s="414"/>
      <c r="H118" s="414"/>
      <c r="I118" s="415"/>
      <c r="J118" s="413"/>
      <c r="K118" s="415"/>
      <c r="L118" s="416"/>
      <c r="M118" s="414"/>
      <c r="R118" s="394">
        <f t="shared" si="29"/>
        <v>45.111111111111882</v>
      </c>
      <c r="AI118" s="98">
        <v>27</v>
      </c>
      <c r="AJ118" s="93">
        <v>0.8</v>
      </c>
      <c r="AK118" s="94">
        <v>0.8</v>
      </c>
      <c r="AL118" s="94">
        <v>0.8</v>
      </c>
      <c r="AM118" s="94">
        <v>0.8</v>
      </c>
      <c r="AN118" s="94">
        <v>0.8</v>
      </c>
      <c r="AO118" s="94">
        <v>0.8</v>
      </c>
      <c r="AP118" s="94">
        <v>0.82</v>
      </c>
      <c r="AQ118" s="95">
        <v>0.82</v>
      </c>
      <c r="AT118" s="98">
        <v>9</v>
      </c>
      <c r="AU118" s="114">
        <v>0.40700000000000003</v>
      </c>
      <c r="AV118" s="112">
        <v>0.40700000000000003</v>
      </c>
      <c r="AW118" s="112">
        <v>0.377</v>
      </c>
      <c r="AX118" s="112">
        <v>0.318</v>
      </c>
      <c r="AY118" s="112">
        <v>0.318</v>
      </c>
      <c r="AZ118" s="112">
        <v>0.318</v>
      </c>
      <c r="BA118" s="112">
        <v>0.38</v>
      </c>
      <c r="BB118" s="115">
        <v>0.38</v>
      </c>
      <c r="BC118" s="98">
        <v>9</v>
      </c>
      <c r="BD118" s="93">
        <v>0.76300000000000001</v>
      </c>
      <c r="BE118" s="94">
        <v>0.71299999999999997</v>
      </c>
      <c r="BF118" s="94">
        <v>0.7</v>
      </c>
      <c r="BG118" s="94">
        <v>0.6</v>
      </c>
      <c r="BH118" s="94">
        <v>0.55000000000000004</v>
      </c>
      <c r="BI118" s="94">
        <v>0.65</v>
      </c>
      <c r="BJ118" s="94">
        <v>0.65</v>
      </c>
      <c r="BK118" s="95">
        <v>0.65</v>
      </c>
      <c r="BL118" s="123">
        <v>9</v>
      </c>
      <c r="BM118" s="93">
        <v>8.5000000000000006E-3</v>
      </c>
      <c r="BN118" s="94">
        <v>9.0000000000000011E-3</v>
      </c>
      <c r="BO118" s="94">
        <v>0.01</v>
      </c>
      <c r="BP118" s="94">
        <v>0.01</v>
      </c>
      <c r="BQ118" s="94">
        <v>1.0999999999999999E-2</v>
      </c>
      <c r="BR118" s="94">
        <v>1.2700000000000001E-2</v>
      </c>
      <c r="BS118" s="94">
        <v>1.4E-2</v>
      </c>
      <c r="BT118" s="95">
        <v>1.4500000000000001E-2</v>
      </c>
      <c r="BU118" s="124">
        <v>9</v>
      </c>
      <c r="BV118" s="120">
        <v>9.0000000000000011E-3</v>
      </c>
      <c r="BW118" s="121">
        <v>9.0000000000000011E-3</v>
      </c>
      <c r="BX118" s="121">
        <v>9.0000000000000011E-3</v>
      </c>
      <c r="BY118" s="121">
        <v>9.0000000000000011E-3</v>
      </c>
      <c r="BZ118" s="121">
        <v>9.0000000000000011E-3</v>
      </c>
      <c r="CA118" s="121">
        <v>9.0000000000000011E-3</v>
      </c>
      <c r="CB118" s="121">
        <v>9.0000000000000011E-3</v>
      </c>
      <c r="CC118" s="122">
        <v>9.0000000000000011E-3</v>
      </c>
    </row>
    <row r="119" spans="1:81" ht="14.25">
      <c r="A119" s="413"/>
      <c r="B119" s="413"/>
      <c r="C119" s="414"/>
      <c r="D119" s="413"/>
      <c r="E119" s="414"/>
      <c r="F119" s="413"/>
      <c r="G119" s="414"/>
      <c r="H119" s="414"/>
      <c r="I119" s="415"/>
      <c r="J119" s="413"/>
      <c r="K119" s="415"/>
      <c r="L119" s="416"/>
      <c r="M119" s="414"/>
      <c r="R119" s="394">
        <f t="shared" si="29"/>
        <v>45.500000000000767</v>
      </c>
      <c r="AI119" s="98">
        <v>28</v>
      </c>
      <c r="AJ119" s="93">
        <v>0.8</v>
      </c>
      <c r="AK119" s="94">
        <v>0.8</v>
      </c>
      <c r="AL119" s="94">
        <v>0.8</v>
      </c>
      <c r="AM119" s="94">
        <v>0.8</v>
      </c>
      <c r="AN119" s="94">
        <v>0.8</v>
      </c>
      <c r="AO119" s="94">
        <v>0.8</v>
      </c>
      <c r="AP119" s="94">
        <v>0.82</v>
      </c>
      <c r="AQ119" s="95">
        <v>0.82</v>
      </c>
      <c r="AT119" s="98">
        <v>10</v>
      </c>
      <c r="AU119" s="114">
        <v>0.41</v>
      </c>
      <c r="AV119" s="112">
        <v>0.41</v>
      </c>
      <c r="AW119" s="112">
        <v>0.38</v>
      </c>
      <c r="AX119" s="112">
        <v>0.32</v>
      </c>
      <c r="AY119" s="112">
        <v>0.32</v>
      </c>
      <c r="AZ119" s="112">
        <v>0.32</v>
      </c>
      <c r="BA119" s="112">
        <v>0.38</v>
      </c>
      <c r="BB119" s="115">
        <v>0.38</v>
      </c>
      <c r="BC119" s="98">
        <v>10</v>
      </c>
      <c r="BD119" s="93">
        <v>0.77</v>
      </c>
      <c r="BE119" s="94">
        <v>0.72</v>
      </c>
      <c r="BF119" s="94">
        <v>0.7</v>
      </c>
      <c r="BG119" s="94">
        <v>0.6</v>
      </c>
      <c r="BH119" s="94">
        <v>0.55000000000000004</v>
      </c>
      <c r="BI119" s="94">
        <v>0.65</v>
      </c>
      <c r="BJ119" s="94">
        <v>0.65</v>
      </c>
      <c r="BK119" s="95">
        <v>0.65</v>
      </c>
      <c r="BL119" s="123">
        <v>10</v>
      </c>
      <c r="BM119" s="93">
        <v>8.5000000000000006E-3</v>
      </c>
      <c r="BN119" s="94">
        <v>9.0000000000000011E-3</v>
      </c>
      <c r="BO119" s="94">
        <v>0.01</v>
      </c>
      <c r="BP119" s="94">
        <v>0.01</v>
      </c>
      <c r="BQ119" s="94">
        <v>1.0999999999999999E-2</v>
      </c>
      <c r="BR119" s="94">
        <v>1.2700000000000001E-2</v>
      </c>
      <c r="BS119" s="94">
        <v>1.4E-2</v>
      </c>
      <c r="BT119" s="95">
        <v>1.4500000000000001E-2</v>
      </c>
      <c r="BU119" s="124">
        <v>10</v>
      </c>
      <c r="BV119" s="120">
        <v>9.0000000000000011E-3</v>
      </c>
      <c r="BW119" s="121">
        <v>9.0000000000000011E-3</v>
      </c>
      <c r="BX119" s="121">
        <v>9.0000000000000011E-3</v>
      </c>
      <c r="BY119" s="121">
        <v>9.0000000000000011E-3</v>
      </c>
      <c r="BZ119" s="121">
        <v>9.0000000000000011E-3</v>
      </c>
      <c r="CA119" s="121">
        <v>9.0000000000000011E-3</v>
      </c>
      <c r="CB119" s="121">
        <v>9.0000000000000011E-3</v>
      </c>
      <c r="CC119" s="122">
        <v>9.0000000000000011E-3</v>
      </c>
    </row>
    <row r="120" spans="1:81" ht="14.25">
      <c r="A120" s="413"/>
      <c r="B120" s="413"/>
      <c r="C120" s="414"/>
      <c r="D120" s="413"/>
      <c r="E120" s="414"/>
      <c r="F120" s="413"/>
      <c r="G120" s="414"/>
      <c r="H120" s="414"/>
      <c r="I120" s="415"/>
      <c r="J120" s="413"/>
      <c r="K120" s="415"/>
      <c r="L120" s="416"/>
      <c r="M120" s="414"/>
      <c r="R120" s="394">
        <f t="shared" si="29"/>
        <v>45.888888888889653</v>
      </c>
      <c r="AI120" s="98">
        <v>29</v>
      </c>
      <c r="AJ120" s="93">
        <v>0.8</v>
      </c>
      <c r="AK120" s="94">
        <v>0.8</v>
      </c>
      <c r="AL120" s="94">
        <v>0.8</v>
      </c>
      <c r="AM120" s="94">
        <v>0.8</v>
      </c>
      <c r="AN120" s="94">
        <v>0.8</v>
      </c>
      <c r="AO120" s="94">
        <v>0.8</v>
      </c>
      <c r="AP120" s="94">
        <v>0.82</v>
      </c>
      <c r="AQ120" s="95">
        <v>0.82</v>
      </c>
      <c r="AT120" s="98">
        <v>11</v>
      </c>
      <c r="AU120" s="114">
        <v>0.41300000000000003</v>
      </c>
      <c r="AV120" s="112">
        <v>0.41300000000000003</v>
      </c>
      <c r="AW120" s="112">
        <v>0.38300000000000001</v>
      </c>
      <c r="AX120" s="112">
        <v>0.32200000000000001</v>
      </c>
      <c r="AY120" s="112">
        <v>0.32200000000000001</v>
      </c>
      <c r="AZ120" s="112">
        <v>0.32200000000000001</v>
      </c>
      <c r="BA120" s="112">
        <v>0.4</v>
      </c>
      <c r="BB120" s="115">
        <v>0.4</v>
      </c>
      <c r="BC120" s="98">
        <v>11</v>
      </c>
      <c r="BD120" s="93">
        <v>0.77700000000000002</v>
      </c>
      <c r="BE120" s="94">
        <v>0.72699999999999998</v>
      </c>
      <c r="BF120" s="94">
        <v>0.75</v>
      </c>
      <c r="BG120" s="94">
        <v>0.65</v>
      </c>
      <c r="BH120" s="94">
        <v>0.57999999999999996</v>
      </c>
      <c r="BI120" s="94">
        <v>0.68</v>
      </c>
      <c r="BJ120" s="94">
        <v>0.7</v>
      </c>
      <c r="BK120" s="95">
        <v>0.7</v>
      </c>
      <c r="BL120" s="123">
        <v>11</v>
      </c>
      <c r="BM120" s="93">
        <v>8.5000000000000006E-3</v>
      </c>
      <c r="BN120" s="94">
        <v>9.0000000000000011E-3</v>
      </c>
      <c r="BO120" s="94">
        <v>0.01</v>
      </c>
      <c r="BP120" s="94">
        <v>0.01</v>
      </c>
      <c r="BQ120" s="94">
        <v>1.0999999999999999E-2</v>
      </c>
      <c r="BR120" s="94">
        <v>1.2700000000000001E-2</v>
      </c>
      <c r="BS120" s="94">
        <v>1.4E-2</v>
      </c>
      <c r="BT120" s="95">
        <v>1.4500000000000001E-2</v>
      </c>
      <c r="BU120" s="124">
        <v>11</v>
      </c>
      <c r="BV120" s="120">
        <v>9.0000000000000011E-3</v>
      </c>
      <c r="BW120" s="121">
        <v>9.0000000000000011E-3</v>
      </c>
      <c r="BX120" s="121">
        <v>9.0000000000000011E-3</v>
      </c>
      <c r="BY120" s="121">
        <v>9.0000000000000011E-3</v>
      </c>
      <c r="BZ120" s="121">
        <v>9.0000000000000011E-3</v>
      </c>
      <c r="CA120" s="121">
        <v>9.0000000000000011E-3</v>
      </c>
      <c r="CB120" s="121">
        <v>9.0000000000000011E-3</v>
      </c>
      <c r="CC120" s="122">
        <v>9.0000000000000011E-3</v>
      </c>
    </row>
    <row r="121" spans="1:81" ht="14.25">
      <c r="A121" s="413"/>
      <c r="B121" s="413"/>
      <c r="C121" s="414"/>
      <c r="D121" s="413"/>
      <c r="E121" s="414"/>
      <c r="F121" s="413"/>
      <c r="G121" s="414"/>
      <c r="H121" s="414"/>
      <c r="I121" s="415"/>
      <c r="J121" s="413"/>
      <c r="K121" s="415"/>
      <c r="L121" s="416"/>
      <c r="M121" s="414"/>
      <c r="R121" s="394">
        <f t="shared" si="29"/>
        <v>46.277777777778539</v>
      </c>
      <c r="AI121" s="98">
        <v>30</v>
      </c>
      <c r="AJ121" s="93">
        <v>0.8</v>
      </c>
      <c r="AK121" s="94">
        <v>0.8</v>
      </c>
      <c r="AL121" s="94">
        <v>0.8</v>
      </c>
      <c r="AM121" s="94">
        <v>0.8</v>
      </c>
      <c r="AN121" s="94">
        <v>0.8</v>
      </c>
      <c r="AO121" s="94">
        <v>0.8</v>
      </c>
      <c r="AP121" s="94">
        <v>0.82</v>
      </c>
      <c r="AQ121" s="95">
        <v>0.82</v>
      </c>
      <c r="AT121" s="98">
        <v>12</v>
      </c>
      <c r="AU121" s="114">
        <v>0.41600000000000004</v>
      </c>
      <c r="AV121" s="112">
        <v>0.41600000000000004</v>
      </c>
      <c r="AW121" s="112">
        <v>0.38600000000000001</v>
      </c>
      <c r="AX121" s="112">
        <v>0.32400000000000001</v>
      </c>
      <c r="AY121" s="112">
        <v>0.32400000000000001</v>
      </c>
      <c r="AZ121" s="112">
        <v>0.32400000000000001</v>
      </c>
      <c r="BA121" s="112">
        <v>0.4</v>
      </c>
      <c r="BB121" s="115">
        <v>0.4</v>
      </c>
      <c r="BC121" s="98">
        <v>12</v>
      </c>
      <c r="BD121" s="93">
        <v>0.78400000000000003</v>
      </c>
      <c r="BE121" s="94">
        <v>0.73399999999999999</v>
      </c>
      <c r="BF121" s="94">
        <v>0.75</v>
      </c>
      <c r="BG121" s="94">
        <v>0.65</v>
      </c>
      <c r="BH121" s="94">
        <v>0.57999999999999996</v>
      </c>
      <c r="BI121" s="94">
        <v>0.68</v>
      </c>
      <c r="BJ121" s="94">
        <v>0.7</v>
      </c>
      <c r="BK121" s="95">
        <v>0.7</v>
      </c>
      <c r="BL121" s="123">
        <v>12</v>
      </c>
      <c r="BM121" s="93">
        <v>8.5000000000000006E-3</v>
      </c>
      <c r="BN121" s="94">
        <v>9.0000000000000011E-3</v>
      </c>
      <c r="BO121" s="94">
        <v>0.01</v>
      </c>
      <c r="BP121" s="94">
        <v>0.01</v>
      </c>
      <c r="BQ121" s="94">
        <v>1.0999999999999999E-2</v>
      </c>
      <c r="BR121" s="94">
        <v>1.2700000000000001E-2</v>
      </c>
      <c r="BS121" s="94">
        <v>1.4E-2</v>
      </c>
      <c r="BT121" s="95">
        <v>1.4500000000000001E-2</v>
      </c>
      <c r="BU121" s="124">
        <v>12</v>
      </c>
      <c r="BV121" s="120">
        <v>9.0000000000000011E-3</v>
      </c>
      <c r="BW121" s="121">
        <v>9.0000000000000011E-3</v>
      </c>
      <c r="BX121" s="121">
        <v>9.0000000000000011E-3</v>
      </c>
      <c r="BY121" s="121">
        <v>9.0000000000000011E-3</v>
      </c>
      <c r="BZ121" s="121">
        <v>9.0000000000000011E-3</v>
      </c>
      <c r="CA121" s="121">
        <v>9.0000000000000011E-3</v>
      </c>
      <c r="CB121" s="121">
        <v>9.0000000000000011E-3</v>
      </c>
      <c r="CC121" s="122">
        <v>9.0000000000000011E-3</v>
      </c>
    </row>
    <row r="122" spans="1:81" ht="14.25">
      <c r="A122" s="413"/>
      <c r="B122" s="413"/>
      <c r="C122" s="414"/>
      <c r="D122" s="413"/>
      <c r="E122" s="414"/>
      <c r="F122" s="413"/>
      <c r="G122" s="414"/>
      <c r="H122" s="414"/>
      <c r="I122" s="415"/>
      <c r="J122" s="413"/>
      <c r="K122" s="415"/>
      <c r="L122" s="416"/>
      <c r="M122" s="414"/>
      <c r="R122" s="394">
        <f t="shared" si="29"/>
        <v>46.666666666667425</v>
      </c>
      <c r="AI122" s="98">
        <v>31</v>
      </c>
      <c r="AJ122" s="93">
        <v>0.8</v>
      </c>
      <c r="AK122" s="94">
        <v>0.8</v>
      </c>
      <c r="AL122" s="94">
        <v>0.8</v>
      </c>
      <c r="AM122" s="94">
        <v>0.8</v>
      </c>
      <c r="AN122" s="94">
        <v>0.8</v>
      </c>
      <c r="AO122" s="94">
        <v>0.8</v>
      </c>
      <c r="AP122" s="94">
        <v>0.82</v>
      </c>
      <c r="AQ122" s="95">
        <v>0.82</v>
      </c>
      <c r="AT122" s="98">
        <v>13</v>
      </c>
      <c r="AU122" s="114">
        <v>0.41899999999999998</v>
      </c>
      <c r="AV122" s="112">
        <v>0.41899999999999998</v>
      </c>
      <c r="AW122" s="112">
        <v>0.38900000000000001</v>
      </c>
      <c r="AX122" s="112">
        <v>0.32600000000000001</v>
      </c>
      <c r="AY122" s="112">
        <v>0.32600000000000001</v>
      </c>
      <c r="AZ122" s="112">
        <v>0.32600000000000001</v>
      </c>
      <c r="BA122" s="112">
        <v>0.4</v>
      </c>
      <c r="BB122" s="115">
        <v>0.4</v>
      </c>
      <c r="BC122" s="98">
        <v>13</v>
      </c>
      <c r="BD122" s="93">
        <v>0.79100000000000004</v>
      </c>
      <c r="BE122" s="94">
        <v>0.74099999999999999</v>
      </c>
      <c r="BF122" s="94">
        <v>0.75</v>
      </c>
      <c r="BG122" s="94">
        <v>0.65</v>
      </c>
      <c r="BH122" s="94">
        <v>0.57999999999999996</v>
      </c>
      <c r="BI122" s="94">
        <v>0.68</v>
      </c>
      <c r="BJ122" s="94">
        <v>0.7</v>
      </c>
      <c r="BK122" s="95">
        <v>0.7</v>
      </c>
      <c r="BL122" s="123">
        <v>13</v>
      </c>
      <c r="BM122" s="93">
        <v>8.5000000000000006E-3</v>
      </c>
      <c r="BN122" s="94">
        <v>9.0000000000000011E-3</v>
      </c>
      <c r="BO122" s="94">
        <v>0.01</v>
      </c>
      <c r="BP122" s="94">
        <v>0.01</v>
      </c>
      <c r="BQ122" s="94">
        <v>1.0999999999999999E-2</v>
      </c>
      <c r="BR122" s="94">
        <v>1.2700000000000001E-2</v>
      </c>
      <c r="BS122" s="94">
        <v>1.4E-2</v>
      </c>
      <c r="BT122" s="95">
        <v>1.4500000000000001E-2</v>
      </c>
      <c r="BU122" s="124">
        <v>13</v>
      </c>
      <c r="BV122" s="120">
        <v>9.0000000000000011E-3</v>
      </c>
      <c r="BW122" s="121">
        <v>9.0000000000000011E-3</v>
      </c>
      <c r="BX122" s="121">
        <v>9.0000000000000011E-3</v>
      </c>
      <c r="BY122" s="121">
        <v>9.0000000000000011E-3</v>
      </c>
      <c r="BZ122" s="121">
        <v>9.0000000000000011E-3</v>
      </c>
      <c r="CA122" s="121">
        <v>9.0000000000000011E-3</v>
      </c>
      <c r="CB122" s="121">
        <v>9.0000000000000011E-3</v>
      </c>
      <c r="CC122" s="122">
        <v>9.0000000000000011E-3</v>
      </c>
    </row>
    <row r="123" spans="1:81" ht="14.25">
      <c r="A123" s="413"/>
      <c r="B123" s="413"/>
      <c r="C123" s="414"/>
      <c r="D123" s="413"/>
      <c r="E123" s="414"/>
      <c r="F123" s="413"/>
      <c r="G123" s="414"/>
      <c r="H123" s="414"/>
      <c r="I123" s="415"/>
      <c r="J123" s="413"/>
      <c r="K123" s="415"/>
      <c r="L123" s="416"/>
      <c r="M123" s="414"/>
      <c r="R123" s="394">
        <f t="shared" si="29"/>
        <v>47.05555555555631</v>
      </c>
      <c r="AI123" s="98">
        <v>32</v>
      </c>
      <c r="AJ123" s="93">
        <v>0.8</v>
      </c>
      <c r="AK123" s="94">
        <v>0.8</v>
      </c>
      <c r="AL123" s="94">
        <v>0.8</v>
      </c>
      <c r="AM123" s="94">
        <v>0.8</v>
      </c>
      <c r="AN123" s="94">
        <v>0.8</v>
      </c>
      <c r="AO123" s="94">
        <v>0.8</v>
      </c>
      <c r="AP123" s="94">
        <v>0.82</v>
      </c>
      <c r="AQ123" s="95">
        <v>0.82</v>
      </c>
      <c r="AT123" s="98">
        <v>14</v>
      </c>
      <c r="AU123" s="114">
        <v>0.42199999999999999</v>
      </c>
      <c r="AV123" s="112">
        <v>0.42199999999999999</v>
      </c>
      <c r="AW123" s="112">
        <v>0.39200000000000002</v>
      </c>
      <c r="AX123" s="112">
        <v>0.32800000000000001</v>
      </c>
      <c r="AY123" s="112">
        <v>0.32800000000000001</v>
      </c>
      <c r="AZ123" s="112">
        <v>0.32800000000000001</v>
      </c>
      <c r="BA123" s="112">
        <v>0.4</v>
      </c>
      <c r="BB123" s="115">
        <v>0.4</v>
      </c>
      <c r="BC123" s="98">
        <v>14</v>
      </c>
      <c r="BD123" s="93">
        <v>0.79800000000000004</v>
      </c>
      <c r="BE123" s="94">
        <v>0.748</v>
      </c>
      <c r="BF123" s="94">
        <v>0.75</v>
      </c>
      <c r="BG123" s="94">
        <v>0.65</v>
      </c>
      <c r="BH123" s="94">
        <v>0.57999999999999996</v>
      </c>
      <c r="BI123" s="94">
        <v>0.68</v>
      </c>
      <c r="BJ123" s="94">
        <v>0.7</v>
      </c>
      <c r="BK123" s="95">
        <v>0.7</v>
      </c>
      <c r="BL123" s="123">
        <v>14</v>
      </c>
      <c r="BM123" s="93">
        <v>8.5000000000000006E-3</v>
      </c>
      <c r="BN123" s="94">
        <v>9.0000000000000011E-3</v>
      </c>
      <c r="BO123" s="94">
        <v>0.01</v>
      </c>
      <c r="BP123" s="94">
        <v>0.01</v>
      </c>
      <c r="BQ123" s="94">
        <v>1.0999999999999999E-2</v>
      </c>
      <c r="BR123" s="94">
        <v>1.2700000000000001E-2</v>
      </c>
      <c r="BS123" s="94">
        <v>1.4E-2</v>
      </c>
      <c r="BT123" s="95">
        <v>1.4500000000000001E-2</v>
      </c>
      <c r="BU123" s="124">
        <v>14</v>
      </c>
      <c r="BV123" s="120">
        <v>9.0000000000000011E-3</v>
      </c>
      <c r="BW123" s="121">
        <v>9.0000000000000011E-3</v>
      </c>
      <c r="BX123" s="121">
        <v>9.0000000000000011E-3</v>
      </c>
      <c r="BY123" s="121">
        <v>9.0000000000000011E-3</v>
      </c>
      <c r="BZ123" s="121">
        <v>9.0000000000000011E-3</v>
      </c>
      <c r="CA123" s="121">
        <v>9.0000000000000011E-3</v>
      </c>
      <c r="CB123" s="121">
        <v>9.0000000000000011E-3</v>
      </c>
      <c r="CC123" s="122">
        <v>9.0000000000000011E-3</v>
      </c>
    </row>
    <row r="124" spans="1:81" ht="14.25">
      <c r="A124" s="413"/>
      <c r="B124" s="413"/>
      <c r="C124" s="414"/>
      <c r="D124" s="413"/>
      <c r="E124" s="414"/>
      <c r="F124" s="413"/>
      <c r="G124" s="414"/>
      <c r="H124" s="414"/>
      <c r="I124" s="415"/>
      <c r="J124" s="413"/>
      <c r="K124" s="415"/>
      <c r="L124" s="416"/>
      <c r="M124" s="414"/>
      <c r="R124" s="394">
        <f t="shared" si="29"/>
        <v>47.444444444445196</v>
      </c>
      <c r="AI124" s="98">
        <v>33</v>
      </c>
      <c r="AJ124" s="93">
        <v>0.8</v>
      </c>
      <c r="AK124" s="94">
        <v>0.8</v>
      </c>
      <c r="AL124" s="94">
        <v>0.8</v>
      </c>
      <c r="AM124" s="94">
        <v>0.8</v>
      </c>
      <c r="AN124" s="94">
        <v>0.8</v>
      </c>
      <c r="AO124" s="94">
        <v>0.8</v>
      </c>
      <c r="AP124" s="94">
        <v>0.82</v>
      </c>
      <c r="AQ124" s="95">
        <v>0.82</v>
      </c>
      <c r="AT124" s="98">
        <v>15</v>
      </c>
      <c r="AU124" s="114">
        <v>0.42499999999999999</v>
      </c>
      <c r="AV124" s="112">
        <v>0.42499999999999999</v>
      </c>
      <c r="AW124" s="112">
        <v>0.39500000000000002</v>
      </c>
      <c r="AX124" s="112">
        <v>0.33</v>
      </c>
      <c r="AY124" s="112">
        <v>0.33</v>
      </c>
      <c r="AZ124" s="112">
        <v>0.33</v>
      </c>
      <c r="BA124" s="112">
        <v>0.4</v>
      </c>
      <c r="BB124" s="115">
        <v>0.4</v>
      </c>
      <c r="BC124" s="98">
        <v>15</v>
      </c>
      <c r="BD124" s="93">
        <v>0.80500000000000005</v>
      </c>
      <c r="BE124" s="94">
        <v>0.755</v>
      </c>
      <c r="BF124" s="94">
        <v>0.75</v>
      </c>
      <c r="BG124" s="94">
        <v>0.65</v>
      </c>
      <c r="BH124" s="94">
        <v>0.57999999999999996</v>
      </c>
      <c r="BI124" s="94">
        <v>0.68</v>
      </c>
      <c r="BJ124" s="94">
        <v>0.7</v>
      </c>
      <c r="BK124" s="95">
        <v>0.7</v>
      </c>
      <c r="BL124" s="123">
        <v>15</v>
      </c>
      <c r="BM124" s="93">
        <v>8.5000000000000006E-3</v>
      </c>
      <c r="BN124" s="94">
        <v>9.0000000000000011E-3</v>
      </c>
      <c r="BO124" s="94">
        <v>0.01</v>
      </c>
      <c r="BP124" s="94">
        <v>0.01</v>
      </c>
      <c r="BQ124" s="94">
        <v>1.0999999999999999E-2</v>
      </c>
      <c r="BR124" s="94">
        <v>1.2700000000000001E-2</v>
      </c>
      <c r="BS124" s="94">
        <v>1.4E-2</v>
      </c>
      <c r="BT124" s="95">
        <v>1.4500000000000001E-2</v>
      </c>
      <c r="BU124" s="124">
        <v>15</v>
      </c>
      <c r="BV124" s="120">
        <v>9.0000000000000011E-3</v>
      </c>
      <c r="BW124" s="121">
        <v>9.0000000000000011E-3</v>
      </c>
      <c r="BX124" s="121">
        <v>9.0000000000000011E-3</v>
      </c>
      <c r="BY124" s="121">
        <v>9.0000000000000011E-3</v>
      </c>
      <c r="BZ124" s="121">
        <v>9.0000000000000011E-3</v>
      </c>
      <c r="CA124" s="121">
        <v>9.0000000000000011E-3</v>
      </c>
      <c r="CB124" s="121">
        <v>9.0000000000000011E-3</v>
      </c>
      <c r="CC124" s="122">
        <v>9.0000000000000011E-3</v>
      </c>
    </row>
    <row r="125" spans="1:81" ht="14.25">
      <c r="A125" s="413"/>
      <c r="B125" s="413"/>
      <c r="C125" s="414"/>
      <c r="D125" s="413"/>
      <c r="E125" s="414"/>
      <c r="F125" s="413"/>
      <c r="G125" s="414"/>
      <c r="H125" s="414"/>
      <c r="I125" s="415"/>
      <c r="J125" s="413"/>
      <c r="K125" s="415"/>
      <c r="L125" s="416"/>
      <c r="M125" s="414"/>
      <c r="R125" s="394">
        <f t="shared" si="29"/>
        <v>47.833333333334082</v>
      </c>
      <c r="AI125" s="98">
        <v>34</v>
      </c>
      <c r="AJ125" s="93">
        <v>0.8</v>
      </c>
      <c r="AK125" s="94">
        <v>0.8</v>
      </c>
      <c r="AL125" s="94">
        <v>0.8</v>
      </c>
      <c r="AM125" s="94">
        <v>0.8</v>
      </c>
      <c r="AN125" s="94">
        <v>0.8</v>
      </c>
      <c r="AO125" s="94">
        <v>0.8</v>
      </c>
      <c r="AP125" s="94">
        <v>0.82</v>
      </c>
      <c r="AQ125" s="95">
        <v>0.82</v>
      </c>
      <c r="AT125" s="98">
        <v>16</v>
      </c>
      <c r="AU125" s="114">
        <v>0.42799999999999999</v>
      </c>
      <c r="AV125" s="112">
        <v>0.42799999999999999</v>
      </c>
      <c r="AW125" s="112">
        <v>0.39800000000000002</v>
      </c>
      <c r="AX125" s="112">
        <v>0.33200000000000002</v>
      </c>
      <c r="AY125" s="112">
        <v>0.33200000000000002</v>
      </c>
      <c r="AZ125" s="112">
        <v>0.33200000000000002</v>
      </c>
      <c r="BA125" s="112">
        <v>0.42</v>
      </c>
      <c r="BB125" s="115">
        <v>0.42</v>
      </c>
      <c r="BC125" s="98">
        <v>16</v>
      </c>
      <c r="BD125" s="93">
        <v>0.81200000000000006</v>
      </c>
      <c r="BE125" s="94">
        <v>0.76200000000000001</v>
      </c>
      <c r="BF125" s="94">
        <v>0.75</v>
      </c>
      <c r="BG125" s="94">
        <v>0.7</v>
      </c>
      <c r="BH125" s="94">
        <v>0.6</v>
      </c>
      <c r="BI125" s="94">
        <v>0.7</v>
      </c>
      <c r="BJ125" s="94">
        <v>0.75</v>
      </c>
      <c r="BK125" s="95">
        <v>0.75</v>
      </c>
      <c r="BL125" s="123">
        <v>16</v>
      </c>
      <c r="BM125" s="93">
        <v>8.5000000000000006E-3</v>
      </c>
      <c r="BN125" s="94">
        <v>9.0000000000000011E-3</v>
      </c>
      <c r="BO125" s="94">
        <v>0.01</v>
      </c>
      <c r="BP125" s="94">
        <v>0.01</v>
      </c>
      <c r="BQ125" s="94">
        <v>1.0999999999999999E-2</v>
      </c>
      <c r="BR125" s="94">
        <v>1.2700000000000001E-2</v>
      </c>
      <c r="BS125" s="94">
        <v>1.4E-2</v>
      </c>
      <c r="BT125" s="95">
        <v>1.4500000000000001E-2</v>
      </c>
      <c r="BU125" s="124">
        <v>16</v>
      </c>
      <c r="BV125" s="120">
        <v>9.0000000000000011E-3</v>
      </c>
      <c r="BW125" s="121">
        <v>9.0000000000000011E-3</v>
      </c>
      <c r="BX125" s="121">
        <v>9.0000000000000011E-3</v>
      </c>
      <c r="BY125" s="121">
        <v>9.0000000000000011E-3</v>
      </c>
      <c r="BZ125" s="121">
        <v>9.0000000000000011E-3</v>
      </c>
      <c r="CA125" s="121">
        <v>9.0000000000000011E-3</v>
      </c>
      <c r="CB125" s="121">
        <v>9.0000000000000011E-3</v>
      </c>
      <c r="CC125" s="122">
        <v>9.0000000000000011E-3</v>
      </c>
    </row>
    <row r="126" spans="1:81" ht="14.25">
      <c r="A126" s="413"/>
      <c r="B126" s="413"/>
      <c r="C126" s="414"/>
      <c r="D126" s="413"/>
      <c r="E126" s="414"/>
      <c r="F126" s="413"/>
      <c r="G126" s="414"/>
      <c r="H126" s="414"/>
      <c r="I126" s="415"/>
      <c r="J126" s="413"/>
      <c r="K126" s="415"/>
      <c r="L126" s="416"/>
      <c r="M126" s="414"/>
      <c r="R126" s="394">
        <f t="shared" si="29"/>
        <v>48.222222222222968</v>
      </c>
      <c r="AI126" s="98">
        <v>35</v>
      </c>
      <c r="AJ126" s="93">
        <v>0.8</v>
      </c>
      <c r="AK126" s="94">
        <v>0.8</v>
      </c>
      <c r="AL126" s="94">
        <v>0.8</v>
      </c>
      <c r="AM126" s="94">
        <v>0.8</v>
      </c>
      <c r="AN126" s="94">
        <v>0.8</v>
      </c>
      <c r="AO126" s="94">
        <v>0.8</v>
      </c>
      <c r="AP126" s="94">
        <v>0.82</v>
      </c>
      <c r="AQ126" s="95">
        <v>0.82</v>
      </c>
      <c r="AT126" s="98">
        <v>17</v>
      </c>
      <c r="AU126" s="114">
        <v>0.43099999999999999</v>
      </c>
      <c r="AV126" s="112">
        <v>0.43099999999999999</v>
      </c>
      <c r="AW126" s="112">
        <v>0.40100000000000002</v>
      </c>
      <c r="AX126" s="112">
        <v>0.33400000000000002</v>
      </c>
      <c r="AY126" s="112">
        <v>0.33400000000000002</v>
      </c>
      <c r="AZ126" s="112">
        <v>0.33400000000000002</v>
      </c>
      <c r="BA126" s="112">
        <v>0.42</v>
      </c>
      <c r="BB126" s="115">
        <v>0.42</v>
      </c>
      <c r="BC126" s="98">
        <v>17</v>
      </c>
      <c r="BD126" s="93">
        <v>0.81900000000000006</v>
      </c>
      <c r="BE126" s="94">
        <v>0.76900000000000002</v>
      </c>
      <c r="BF126" s="94">
        <v>0.75</v>
      </c>
      <c r="BG126" s="94">
        <v>0.7</v>
      </c>
      <c r="BH126" s="94">
        <v>0.6</v>
      </c>
      <c r="BI126" s="94">
        <v>0.7</v>
      </c>
      <c r="BJ126" s="94">
        <v>0.75</v>
      </c>
      <c r="BK126" s="95">
        <v>0.75</v>
      </c>
      <c r="BL126" s="123">
        <v>17</v>
      </c>
      <c r="BM126" s="93">
        <v>8.5000000000000006E-3</v>
      </c>
      <c r="BN126" s="94">
        <v>9.0000000000000011E-3</v>
      </c>
      <c r="BO126" s="94">
        <v>0.01</v>
      </c>
      <c r="BP126" s="94">
        <v>0.01</v>
      </c>
      <c r="BQ126" s="94">
        <v>1.0999999999999999E-2</v>
      </c>
      <c r="BR126" s="94">
        <v>1.2700000000000001E-2</v>
      </c>
      <c r="BS126" s="94">
        <v>1.4E-2</v>
      </c>
      <c r="BT126" s="95">
        <v>1.4500000000000001E-2</v>
      </c>
      <c r="BU126" s="124">
        <v>17</v>
      </c>
      <c r="BV126" s="120">
        <v>9.0000000000000011E-3</v>
      </c>
      <c r="BW126" s="121">
        <v>9.0000000000000011E-3</v>
      </c>
      <c r="BX126" s="121">
        <v>9.0000000000000011E-3</v>
      </c>
      <c r="BY126" s="121">
        <v>9.0000000000000011E-3</v>
      </c>
      <c r="BZ126" s="121">
        <v>9.0000000000000011E-3</v>
      </c>
      <c r="CA126" s="121">
        <v>9.0000000000000011E-3</v>
      </c>
      <c r="CB126" s="121">
        <v>9.0000000000000011E-3</v>
      </c>
      <c r="CC126" s="122">
        <v>9.0000000000000011E-3</v>
      </c>
    </row>
    <row r="127" spans="1:81" ht="14.25">
      <c r="A127" s="413"/>
      <c r="B127" s="413"/>
      <c r="C127" s="414"/>
      <c r="D127" s="413"/>
      <c r="E127" s="414"/>
      <c r="F127" s="413"/>
      <c r="G127" s="414"/>
      <c r="H127" s="414"/>
      <c r="I127" s="415"/>
      <c r="J127" s="413"/>
      <c r="K127" s="415"/>
      <c r="L127" s="416"/>
      <c r="M127" s="414"/>
      <c r="R127" s="394">
        <f t="shared" si="29"/>
        <v>48.611111111111853</v>
      </c>
      <c r="AI127" s="98">
        <v>36</v>
      </c>
      <c r="AJ127" s="93">
        <v>0.8</v>
      </c>
      <c r="AK127" s="94">
        <v>0.8</v>
      </c>
      <c r="AL127" s="94">
        <v>0.8</v>
      </c>
      <c r="AM127" s="94">
        <v>0.8</v>
      </c>
      <c r="AN127" s="94">
        <v>0.8</v>
      </c>
      <c r="AO127" s="94">
        <v>0.8</v>
      </c>
      <c r="AP127" s="94">
        <v>0.82</v>
      </c>
      <c r="AQ127" s="95">
        <v>0.82</v>
      </c>
      <c r="AT127" s="98">
        <v>18</v>
      </c>
      <c r="AU127" s="114">
        <v>0.434</v>
      </c>
      <c r="AV127" s="112">
        <v>0.434</v>
      </c>
      <c r="AW127" s="112">
        <v>0.40400000000000003</v>
      </c>
      <c r="AX127" s="112">
        <v>0.33600000000000002</v>
      </c>
      <c r="AY127" s="112">
        <v>0.33600000000000002</v>
      </c>
      <c r="AZ127" s="112">
        <v>0.33600000000000002</v>
      </c>
      <c r="BA127" s="112">
        <v>0.42</v>
      </c>
      <c r="BB127" s="115">
        <v>0.42</v>
      </c>
      <c r="BC127" s="98">
        <v>18</v>
      </c>
      <c r="BD127" s="93">
        <v>0.82600000000000007</v>
      </c>
      <c r="BE127" s="94">
        <v>0.77600000000000002</v>
      </c>
      <c r="BF127" s="94">
        <v>0.75</v>
      </c>
      <c r="BG127" s="94">
        <v>0.7</v>
      </c>
      <c r="BH127" s="94">
        <v>0.6</v>
      </c>
      <c r="BI127" s="94">
        <v>0.7</v>
      </c>
      <c r="BJ127" s="94">
        <v>0.75</v>
      </c>
      <c r="BK127" s="95">
        <v>0.75</v>
      </c>
      <c r="BL127" s="123">
        <v>18</v>
      </c>
      <c r="BM127" s="93">
        <v>8.5000000000000006E-3</v>
      </c>
      <c r="BN127" s="94">
        <v>9.0000000000000011E-3</v>
      </c>
      <c r="BO127" s="94">
        <v>0.01</v>
      </c>
      <c r="BP127" s="94">
        <v>0.01</v>
      </c>
      <c r="BQ127" s="94">
        <v>1.0999999999999999E-2</v>
      </c>
      <c r="BR127" s="94">
        <v>1.2700000000000001E-2</v>
      </c>
      <c r="BS127" s="94">
        <v>1.4E-2</v>
      </c>
      <c r="BT127" s="95">
        <v>1.4500000000000001E-2</v>
      </c>
      <c r="BU127" s="124">
        <v>18</v>
      </c>
      <c r="BV127" s="120">
        <v>9.0000000000000011E-3</v>
      </c>
      <c r="BW127" s="121">
        <v>9.0000000000000011E-3</v>
      </c>
      <c r="BX127" s="121">
        <v>9.0000000000000011E-3</v>
      </c>
      <c r="BY127" s="121">
        <v>9.0000000000000011E-3</v>
      </c>
      <c r="BZ127" s="121">
        <v>9.0000000000000011E-3</v>
      </c>
      <c r="CA127" s="121">
        <v>9.0000000000000011E-3</v>
      </c>
      <c r="CB127" s="121">
        <v>9.0000000000000011E-3</v>
      </c>
      <c r="CC127" s="122">
        <v>9.0000000000000011E-3</v>
      </c>
    </row>
    <row r="128" spans="1:81" ht="14.25">
      <c r="A128" s="413"/>
      <c r="B128" s="413"/>
      <c r="C128" s="414"/>
      <c r="D128" s="413"/>
      <c r="E128" s="414"/>
      <c r="F128" s="413"/>
      <c r="G128" s="414"/>
      <c r="H128" s="414"/>
      <c r="I128" s="415"/>
      <c r="J128" s="413"/>
      <c r="K128" s="415"/>
      <c r="L128" s="416"/>
      <c r="M128" s="414"/>
      <c r="R128" s="394">
        <f t="shared" si="29"/>
        <v>49.000000000000739</v>
      </c>
      <c r="AI128" s="98">
        <v>37</v>
      </c>
      <c r="AJ128" s="93">
        <v>0.8</v>
      </c>
      <c r="AK128" s="94">
        <v>0.8</v>
      </c>
      <c r="AL128" s="94">
        <v>0.8</v>
      </c>
      <c r="AM128" s="94">
        <v>0.8</v>
      </c>
      <c r="AN128" s="94">
        <v>0.8</v>
      </c>
      <c r="AO128" s="94">
        <v>0.8</v>
      </c>
      <c r="AP128" s="94">
        <v>0.82</v>
      </c>
      <c r="AQ128" s="95">
        <v>0.82</v>
      </c>
      <c r="AT128" s="98">
        <v>19</v>
      </c>
      <c r="AU128" s="114">
        <v>0.437</v>
      </c>
      <c r="AV128" s="112">
        <v>0.437</v>
      </c>
      <c r="AW128" s="112">
        <v>0.40700000000000003</v>
      </c>
      <c r="AX128" s="112">
        <v>0.33800000000000002</v>
      </c>
      <c r="AY128" s="112">
        <v>0.33800000000000002</v>
      </c>
      <c r="AZ128" s="112">
        <v>0.33800000000000002</v>
      </c>
      <c r="BA128" s="112">
        <v>0.42</v>
      </c>
      <c r="BB128" s="115">
        <v>0.42</v>
      </c>
      <c r="BC128" s="98">
        <v>19</v>
      </c>
      <c r="BD128" s="93">
        <v>0.83299999999999996</v>
      </c>
      <c r="BE128" s="94">
        <v>0.78300000000000003</v>
      </c>
      <c r="BF128" s="94">
        <v>0.75</v>
      </c>
      <c r="BG128" s="94">
        <v>0.7</v>
      </c>
      <c r="BH128" s="94">
        <v>0.6</v>
      </c>
      <c r="BI128" s="94">
        <v>0.7</v>
      </c>
      <c r="BJ128" s="94">
        <v>0.75</v>
      </c>
      <c r="BK128" s="95">
        <v>0.75</v>
      </c>
      <c r="BL128" s="123">
        <v>19</v>
      </c>
      <c r="BM128" s="93">
        <v>8.5000000000000006E-3</v>
      </c>
      <c r="BN128" s="94">
        <v>9.0000000000000011E-3</v>
      </c>
      <c r="BO128" s="94">
        <v>0.01</v>
      </c>
      <c r="BP128" s="94">
        <v>0.01</v>
      </c>
      <c r="BQ128" s="94">
        <v>1.0999999999999999E-2</v>
      </c>
      <c r="BR128" s="94">
        <v>1.2700000000000001E-2</v>
      </c>
      <c r="BS128" s="94">
        <v>1.4E-2</v>
      </c>
      <c r="BT128" s="95">
        <v>1.4500000000000001E-2</v>
      </c>
      <c r="BU128" s="124">
        <v>19</v>
      </c>
      <c r="BV128" s="120">
        <v>9.0000000000000011E-3</v>
      </c>
      <c r="BW128" s="121">
        <v>9.0000000000000011E-3</v>
      </c>
      <c r="BX128" s="121">
        <v>9.0000000000000011E-3</v>
      </c>
      <c r="BY128" s="121">
        <v>9.0000000000000011E-3</v>
      </c>
      <c r="BZ128" s="121">
        <v>9.0000000000000011E-3</v>
      </c>
      <c r="CA128" s="121">
        <v>9.0000000000000011E-3</v>
      </c>
      <c r="CB128" s="121">
        <v>9.0000000000000011E-3</v>
      </c>
      <c r="CC128" s="122">
        <v>9.0000000000000011E-3</v>
      </c>
    </row>
    <row r="129" spans="1:81" ht="14.25">
      <c r="A129" s="413"/>
      <c r="B129" s="413"/>
      <c r="C129" s="414"/>
      <c r="D129" s="413"/>
      <c r="E129" s="414"/>
      <c r="F129" s="413"/>
      <c r="G129" s="414"/>
      <c r="H129" s="414"/>
      <c r="I129" s="415"/>
      <c r="J129" s="413"/>
      <c r="K129" s="415"/>
      <c r="L129" s="416"/>
      <c r="M129" s="414"/>
      <c r="R129" s="394">
        <f t="shared" si="29"/>
        <v>49.388888888889625</v>
      </c>
      <c r="AI129" s="98">
        <v>38</v>
      </c>
      <c r="AJ129" s="93">
        <v>0.8</v>
      </c>
      <c r="AK129" s="94">
        <v>0.8</v>
      </c>
      <c r="AL129" s="94">
        <v>0.8</v>
      </c>
      <c r="AM129" s="94">
        <v>0.8</v>
      </c>
      <c r="AN129" s="94">
        <v>0.8</v>
      </c>
      <c r="AO129" s="94">
        <v>0.8</v>
      </c>
      <c r="AP129" s="94">
        <v>0.82</v>
      </c>
      <c r="AQ129" s="95">
        <v>0.82</v>
      </c>
      <c r="AT129" s="98">
        <v>20</v>
      </c>
      <c r="AU129" s="114">
        <v>0.44</v>
      </c>
      <c r="AV129" s="112">
        <v>0.44</v>
      </c>
      <c r="AW129" s="112">
        <v>0.41</v>
      </c>
      <c r="AX129" s="112">
        <v>0.34</v>
      </c>
      <c r="AY129" s="112">
        <v>0.34</v>
      </c>
      <c r="AZ129" s="112">
        <v>0.34</v>
      </c>
      <c r="BA129" s="112">
        <v>0.42</v>
      </c>
      <c r="BB129" s="115">
        <v>0.42</v>
      </c>
      <c r="BC129" s="98">
        <v>20</v>
      </c>
      <c r="BD129" s="93">
        <v>0.84</v>
      </c>
      <c r="BE129" s="94">
        <v>0.79</v>
      </c>
      <c r="BF129" s="94">
        <v>0.75</v>
      </c>
      <c r="BG129" s="94">
        <v>0.7</v>
      </c>
      <c r="BH129" s="94">
        <v>0.6</v>
      </c>
      <c r="BI129" s="94">
        <v>0.7</v>
      </c>
      <c r="BJ129" s="94">
        <v>0.75</v>
      </c>
      <c r="BK129" s="95">
        <v>0.75</v>
      </c>
      <c r="BL129" s="123">
        <v>20</v>
      </c>
      <c r="BM129" s="93">
        <v>8.5000000000000006E-3</v>
      </c>
      <c r="BN129" s="94">
        <v>9.0000000000000011E-3</v>
      </c>
      <c r="BO129" s="94">
        <v>0.01</v>
      </c>
      <c r="BP129" s="94">
        <v>0.01</v>
      </c>
      <c r="BQ129" s="94">
        <v>1.0999999999999999E-2</v>
      </c>
      <c r="BR129" s="94">
        <v>1.2700000000000001E-2</v>
      </c>
      <c r="BS129" s="94">
        <v>1.4E-2</v>
      </c>
      <c r="BT129" s="95">
        <v>1.4500000000000001E-2</v>
      </c>
      <c r="BU129" s="124">
        <v>20</v>
      </c>
      <c r="BV129" s="120">
        <v>9.0000000000000011E-3</v>
      </c>
      <c r="BW129" s="121">
        <v>9.0000000000000011E-3</v>
      </c>
      <c r="BX129" s="121">
        <v>9.0000000000000011E-3</v>
      </c>
      <c r="BY129" s="121">
        <v>9.0000000000000011E-3</v>
      </c>
      <c r="BZ129" s="121">
        <v>9.0000000000000011E-3</v>
      </c>
      <c r="CA129" s="121">
        <v>9.0000000000000011E-3</v>
      </c>
      <c r="CB129" s="121">
        <v>9.0000000000000011E-3</v>
      </c>
      <c r="CC129" s="122">
        <v>9.0000000000000011E-3</v>
      </c>
    </row>
    <row r="130" spans="1:81" ht="14.25">
      <c r="A130" s="413"/>
      <c r="B130" s="413"/>
      <c r="C130" s="414"/>
      <c r="D130" s="413"/>
      <c r="E130" s="414"/>
      <c r="F130" s="413"/>
      <c r="G130" s="414"/>
      <c r="H130" s="414"/>
      <c r="I130" s="415"/>
      <c r="J130" s="413"/>
      <c r="K130" s="415"/>
      <c r="L130" s="416"/>
      <c r="M130" s="414"/>
      <c r="R130" s="394">
        <f t="shared" ref="R130:R193" si="39">R131-(R$362*0.2/72)</f>
        <v>49.77777777777851</v>
      </c>
      <c r="AI130" s="98">
        <v>39</v>
      </c>
      <c r="AJ130" s="93">
        <v>0.8</v>
      </c>
      <c r="AK130" s="94">
        <v>0.8</v>
      </c>
      <c r="AL130" s="94">
        <v>0.8</v>
      </c>
      <c r="AM130" s="94">
        <v>0.8</v>
      </c>
      <c r="AN130" s="94">
        <v>0.8</v>
      </c>
      <c r="AO130" s="94">
        <v>0.8</v>
      </c>
      <c r="AP130" s="94">
        <v>0.82</v>
      </c>
      <c r="AQ130" s="95">
        <v>0.82</v>
      </c>
      <c r="AT130" s="98">
        <v>21</v>
      </c>
      <c r="AU130" s="114">
        <v>0.443</v>
      </c>
      <c r="AV130" s="112">
        <v>0.443</v>
      </c>
      <c r="AW130" s="112">
        <v>0.41300000000000003</v>
      </c>
      <c r="AX130" s="112">
        <v>0.34200000000000003</v>
      </c>
      <c r="AY130" s="112">
        <v>0.34200000000000003</v>
      </c>
      <c r="AZ130" s="112">
        <v>0.34200000000000003</v>
      </c>
      <c r="BA130" s="112">
        <v>0.42</v>
      </c>
      <c r="BB130" s="115">
        <v>0.42</v>
      </c>
      <c r="BC130" s="98">
        <v>21</v>
      </c>
      <c r="BD130" s="93">
        <v>0.84699999999999998</v>
      </c>
      <c r="BE130" s="94">
        <v>0.79700000000000004</v>
      </c>
      <c r="BF130" s="94">
        <v>0.75</v>
      </c>
      <c r="BG130" s="94">
        <v>0.7</v>
      </c>
      <c r="BH130" s="94">
        <v>0.6</v>
      </c>
      <c r="BI130" s="94">
        <v>0.7</v>
      </c>
      <c r="BJ130" s="94">
        <v>0.75</v>
      </c>
      <c r="BK130" s="95">
        <v>0.75</v>
      </c>
      <c r="BL130" s="123">
        <v>21</v>
      </c>
      <c r="BM130" s="93">
        <v>8.5000000000000006E-3</v>
      </c>
      <c r="BN130" s="94">
        <v>9.0000000000000011E-3</v>
      </c>
      <c r="BO130" s="94">
        <v>0.01</v>
      </c>
      <c r="BP130" s="94">
        <v>0.01</v>
      </c>
      <c r="BQ130" s="94">
        <v>1.0999999999999999E-2</v>
      </c>
      <c r="BR130" s="94">
        <v>1.2700000000000001E-2</v>
      </c>
      <c r="BS130" s="94">
        <v>1.4E-2</v>
      </c>
      <c r="BT130" s="95">
        <v>1.4500000000000001E-2</v>
      </c>
      <c r="BU130" s="124">
        <v>21</v>
      </c>
      <c r="BV130" s="120">
        <v>9.0000000000000011E-3</v>
      </c>
      <c r="BW130" s="121">
        <v>9.0000000000000011E-3</v>
      </c>
      <c r="BX130" s="121">
        <v>9.0000000000000011E-3</v>
      </c>
      <c r="BY130" s="121">
        <v>9.0000000000000011E-3</v>
      </c>
      <c r="BZ130" s="121">
        <v>9.0000000000000011E-3</v>
      </c>
      <c r="CA130" s="121">
        <v>9.0000000000000011E-3</v>
      </c>
      <c r="CB130" s="121">
        <v>9.0000000000000011E-3</v>
      </c>
      <c r="CC130" s="122">
        <v>9.0000000000000011E-3</v>
      </c>
    </row>
    <row r="131" spans="1:81" ht="14.25">
      <c r="A131" s="413"/>
      <c r="B131" s="413"/>
      <c r="C131" s="414"/>
      <c r="D131" s="413"/>
      <c r="E131" s="414"/>
      <c r="F131" s="413"/>
      <c r="G131" s="414"/>
      <c r="H131" s="414"/>
      <c r="I131" s="415"/>
      <c r="J131" s="413"/>
      <c r="K131" s="415"/>
      <c r="L131" s="416"/>
      <c r="M131" s="414"/>
      <c r="R131" s="394">
        <f t="shared" si="39"/>
        <v>50.166666666667396</v>
      </c>
      <c r="AI131" s="98">
        <v>40</v>
      </c>
      <c r="AJ131" s="93">
        <v>0.8</v>
      </c>
      <c r="AK131" s="94">
        <v>0.8</v>
      </c>
      <c r="AL131" s="94">
        <v>0.8</v>
      </c>
      <c r="AM131" s="94">
        <v>0.8</v>
      </c>
      <c r="AN131" s="94">
        <v>0.8</v>
      </c>
      <c r="AO131" s="94">
        <v>0.8</v>
      </c>
      <c r="AP131" s="94">
        <v>0.82</v>
      </c>
      <c r="AQ131" s="95">
        <v>0.82</v>
      </c>
      <c r="AT131" s="98">
        <v>22</v>
      </c>
      <c r="AU131" s="114">
        <v>0.44600000000000001</v>
      </c>
      <c r="AV131" s="112">
        <v>0.44600000000000001</v>
      </c>
      <c r="AW131" s="112">
        <v>0.41600000000000004</v>
      </c>
      <c r="AX131" s="112">
        <v>0.34400000000000003</v>
      </c>
      <c r="AY131" s="112">
        <v>0.34400000000000003</v>
      </c>
      <c r="AZ131" s="112">
        <v>0.34400000000000003</v>
      </c>
      <c r="BA131" s="112">
        <v>0.42</v>
      </c>
      <c r="BB131" s="115">
        <v>0.42</v>
      </c>
      <c r="BC131" s="98">
        <v>22</v>
      </c>
      <c r="BD131" s="93">
        <v>0.85399999999999998</v>
      </c>
      <c r="BE131" s="94">
        <v>0.80400000000000005</v>
      </c>
      <c r="BF131" s="94">
        <v>0.75</v>
      </c>
      <c r="BG131" s="94">
        <v>0.7</v>
      </c>
      <c r="BH131" s="94">
        <v>0.6</v>
      </c>
      <c r="BI131" s="94">
        <v>0.7</v>
      </c>
      <c r="BJ131" s="94">
        <v>0.75</v>
      </c>
      <c r="BK131" s="95">
        <v>0.75</v>
      </c>
      <c r="BL131" s="123">
        <v>22</v>
      </c>
      <c r="BM131" s="93">
        <v>8.5000000000000006E-3</v>
      </c>
      <c r="BN131" s="94">
        <v>9.0000000000000011E-3</v>
      </c>
      <c r="BO131" s="94">
        <v>0.01</v>
      </c>
      <c r="BP131" s="94">
        <v>0.01</v>
      </c>
      <c r="BQ131" s="94">
        <v>1.0999999999999999E-2</v>
      </c>
      <c r="BR131" s="94">
        <v>1.2700000000000001E-2</v>
      </c>
      <c r="BS131" s="94">
        <v>1.4E-2</v>
      </c>
      <c r="BT131" s="95">
        <v>1.4500000000000001E-2</v>
      </c>
      <c r="BU131" s="124">
        <v>22</v>
      </c>
      <c r="BV131" s="120">
        <v>9.0000000000000011E-3</v>
      </c>
      <c r="BW131" s="121">
        <v>9.0000000000000011E-3</v>
      </c>
      <c r="BX131" s="121">
        <v>9.0000000000000011E-3</v>
      </c>
      <c r="BY131" s="121">
        <v>9.0000000000000011E-3</v>
      </c>
      <c r="BZ131" s="121">
        <v>9.0000000000000011E-3</v>
      </c>
      <c r="CA131" s="121">
        <v>9.0000000000000011E-3</v>
      </c>
      <c r="CB131" s="121">
        <v>9.0000000000000011E-3</v>
      </c>
      <c r="CC131" s="122">
        <v>9.0000000000000011E-3</v>
      </c>
    </row>
    <row r="132" spans="1:81" ht="14.25">
      <c r="A132" s="413"/>
      <c r="B132" s="413"/>
      <c r="C132" s="414"/>
      <c r="D132" s="413"/>
      <c r="E132" s="414"/>
      <c r="F132" s="413"/>
      <c r="G132" s="414"/>
      <c r="H132" s="414"/>
      <c r="I132" s="415"/>
      <c r="J132" s="413"/>
      <c r="K132" s="415"/>
      <c r="L132" s="416"/>
      <c r="M132" s="414"/>
      <c r="R132" s="394">
        <f t="shared" si="39"/>
        <v>50.555555555556282</v>
      </c>
      <c r="AI132" s="98">
        <v>41</v>
      </c>
      <c r="AJ132" s="93">
        <v>0.8</v>
      </c>
      <c r="AK132" s="94">
        <v>0.8</v>
      </c>
      <c r="AL132" s="94">
        <v>0.8</v>
      </c>
      <c r="AM132" s="94">
        <v>0.8</v>
      </c>
      <c r="AN132" s="94">
        <v>0.8</v>
      </c>
      <c r="AO132" s="94">
        <v>0.8</v>
      </c>
      <c r="AP132" s="94">
        <v>0.82</v>
      </c>
      <c r="AQ132" s="95">
        <v>0.82</v>
      </c>
      <c r="AT132" s="98">
        <v>23</v>
      </c>
      <c r="AU132" s="114">
        <v>0.44900000000000001</v>
      </c>
      <c r="AV132" s="112">
        <v>0.44900000000000001</v>
      </c>
      <c r="AW132" s="112">
        <v>0.41899999999999998</v>
      </c>
      <c r="AX132" s="112">
        <v>0.34600000000000003</v>
      </c>
      <c r="AY132" s="112">
        <v>0.34600000000000003</v>
      </c>
      <c r="AZ132" s="112">
        <v>0.34600000000000003</v>
      </c>
      <c r="BA132" s="112">
        <v>0.42</v>
      </c>
      <c r="BB132" s="115">
        <v>0.42</v>
      </c>
      <c r="BC132" s="98">
        <v>23</v>
      </c>
      <c r="BD132" s="93">
        <v>0.86099999999999999</v>
      </c>
      <c r="BE132" s="94">
        <v>0.81100000000000005</v>
      </c>
      <c r="BF132" s="94">
        <v>0.75</v>
      </c>
      <c r="BG132" s="94">
        <v>0.7</v>
      </c>
      <c r="BH132" s="94">
        <v>0.6</v>
      </c>
      <c r="BI132" s="94">
        <v>0.7</v>
      </c>
      <c r="BJ132" s="94">
        <v>0.75</v>
      </c>
      <c r="BK132" s="95">
        <v>0.75</v>
      </c>
      <c r="BL132" s="123">
        <v>23</v>
      </c>
      <c r="BM132" s="93">
        <v>8.5000000000000006E-3</v>
      </c>
      <c r="BN132" s="94">
        <v>9.0000000000000011E-3</v>
      </c>
      <c r="BO132" s="94">
        <v>0.01</v>
      </c>
      <c r="BP132" s="94">
        <v>0.01</v>
      </c>
      <c r="BQ132" s="94">
        <v>1.0999999999999999E-2</v>
      </c>
      <c r="BR132" s="94">
        <v>1.2700000000000001E-2</v>
      </c>
      <c r="BS132" s="94">
        <v>1.4E-2</v>
      </c>
      <c r="BT132" s="95">
        <v>1.4500000000000001E-2</v>
      </c>
      <c r="BU132" s="124">
        <v>23</v>
      </c>
      <c r="BV132" s="120">
        <v>9.0000000000000011E-3</v>
      </c>
      <c r="BW132" s="121">
        <v>9.0000000000000011E-3</v>
      </c>
      <c r="BX132" s="121">
        <v>9.0000000000000011E-3</v>
      </c>
      <c r="BY132" s="121">
        <v>9.0000000000000011E-3</v>
      </c>
      <c r="BZ132" s="121">
        <v>9.0000000000000011E-3</v>
      </c>
      <c r="CA132" s="121">
        <v>9.0000000000000011E-3</v>
      </c>
      <c r="CB132" s="121">
        <v>9.0000000000000011E-3</v>
      </c>
      <c r="CC132" s="122">
        <v>9.0000000000000011E-3</v>
      </c>
    </row>
    <row r="133" spans="1:81" ht="14.25">
      <c r="A133" s="413"/>
      <c r="B133" s="413"/>
      <c r="C133" s="414"/>
      <c r="D133" s="413"/>
      <c r="E133" s="414"/>
      <c r="F133" s="413"/>
      <c r="G133" s="414"/>
      <c r="H133" s="414"/>
      <c r="I133" s="415"/>
      <c r="J133" s="413"/>
      <c r="K133" s="415"/>
      <c r="L133" s="416"/>
      <c r="M133" s="414"/>
      <c r="R133" s="394">
        <f t="shared" si="39"/>
        <v>50.944444444445168</v>
      </c>
      <c r="AI133" s="98">
        <v>42</v>
      </c>
      <c r="AJ133" s="93">
        <v>0.8</v>
      </c>
      <c r="AK133" s="94">
        <v>0.8</v>
      </c>
      <c r="AL133" s="94">
        <v>0.8</v>
      </c>
      <c r="AM133" s="94">
        <v>0.8</v>
      </c>
      <c r="AN133" s="94">
        <v>0.8</v>
      </c>
      <c r="AO133" s="94">
        <v>0.8</v>
      </c>
      <c r="AP133" s="94">
        <v>0.82</v>
      </c>
      <c r="AQ133" s="95">
        <v>0.82</v>
      </c>
      <c r="AT133" s="98">
        <v>24</v>
      </c>
      <c r="AU133" s="114">
        <v>0.45200000000000001</v>
      </c>
      <c r="AV133" s="112">
        <v>0.45200000000000001</v>
      </c>
      <c r="AW133" s="112">
        <v>0.42199999999999999</v>
      </c>
      <c r="AX133" s="112">
        <v>0.34800000000000003</v>
      </c>
      <c r="AY133" s="112">
        <v>0.34800000000000003</v>
      </c>
      <c r="AZ133" s="112">
        <v>0.34800000000000003</v>
      </c>
      <c r="BA133" s="112">
        <v>0.42</v>
      </c>
      <c r="BB133" s="115">
        <v>0.42</v>
      </c>
      <c r="BC133" s="98">
        <v>24</v>
      </c>
      <c r="BD133" s="93">
        <v>0.86799999999999999</v>
      </c>
      <c r="BE133" s="94">
        <v>0.81800000000000006</v>
      </c>
      <c r="BF133" s="94">
        <v>0.75</v>
      </c>
      <c r="BG133" s="94">
        <v>0.7</v>
      </c>
      <c r="BH133" s="94">
        <v>0.6</v>
      </c>
      <c r="BI133" s="94">
        <v>0.7</v>
      </c>
      <c r="BJ133" s="94">
        <v>0.75</v>
      </c>
      <c r="BK133" s="95">
        <v>0.75</v>
      </c>
      <c r="BL133" s="123">
        <v>24</v>
      </c>
      <c r="BM133" s="93">
        <v>8.5000000000000006E-3</v>
      </c>
      <c r="BN133" s="94">
        <v>9.0000000000000011E-3</v>
      </c>
      <c r="BO133" s="94">
        <v>0.01</v>
      </c>
      <c r="BP133" s="94">
        <v>0.01</v>
      </c>
      <c r="BQ133" s="94">
        <v>1.0999999999999999E-2</v>
      </c>
      <c r="BR133" s="94">
        <v>1.2700000000000001E-2</v>
      </c>
      <c r="BS133" s="94">
        <v>1.4E-2</v>
      </c>
      <c r="BT133" s="95">
        <v>1.4500000000000001E-2</v>
      </c>
      <c r="BU133" s="124">
        <v>24</v>
      </c>
      <c r="BV133" s="120">
        <v>9.0000000000000011E-3</v>
      </c>
      <c r="BW133" s="121">
        <v>9.0000000000000011E-3</v>
      </c>
      <c r="BX133" s="121">
        <v>9.0000000000000011E-3</v>
      </c>
      <c r="BY133" s="121">
        <v>9.0000000000000011E-3</v>
      </c>
      <c r="BZ133" s="121">
        <v>9.0000000000000011E-3</v>
      </c>
      <c r="CA133" s="121">
        <v>9.0000000000000011E-3</v>
      </c>
      <c r="CB133" s="121">
        <v>9.0000000000000011E-3</v>
      </c>
      <c r="CC133" s="122">
        <v>9.0000000000000011E-3</v>
      </c>
    </row>
    <row r="134" spans="1:81" ht="14.25">
      <c r="A134" s="413"/>
      <c r="B134" s="413"/>
      <c r="C134" s="414"/>
      <c r="D134" s="413"/>
      <c r="E134" s="414"/>
      <c r="F134" s="413"/>
      <c r="G134" s="414"/>
      <c r="H134" s="414"/>
      <c r="I134" s="415"/>
      <c r="J134" s="413"/>
      <c r="K134" s="415"/>
      <c r="L134" s="416"/>
      <c r="M134" s="414"/>
      <c r="R134" s="394">
        <f t="shared" si="39"/>
        <v>51.333333333334053</v>
      </c>
      <c r="AI134" s="98">
        <v>43</v>
      </c>
      <c r="AJ134" s="93">
        <v>0.8</v>
      </c>
      <c r="AK134" s="94">
        <v>0.8</v>
      </c>
      <c r="AL134" s="94">
        <v>0.8</v>
      </c>
      <c r="AM134" s="94">
        <v>0.8</v>
      </c>
      <c r="AN134" s="94">
        <v>0.8</v>
      </c>
      <c r="AO134" s="94">
        <v>0.8</v>
      </c>
      <c r="AP134" s="94">
        <v>0.82</v>
      </c>
      <c r="AQ134" s="95">
        <v>0.82</v>
      </c>
      <c r="AT134" s="98">
        <v>25</v>
      </c>
      <c r="AU134" s="114">
        <v>0.45500000000000002</v>
      </c>
      <c r="AV134" s="112">
        <v>0.45500000000000002</v>
      </c>
      <c r="AW134" s="112">
        <v>0.42499999999999999</v>
      </c>
      <c r="AX134" s="112">
        <v>0.35</v>
      </c>
      <c r="AY134" s="112">
        <v>0.35</v>
      </c>
      <c r="AZ134" s="112">
        <v>0.35</v>
      </c>
      <c r="BA134" s="112">
        <v>0.42</v>
      </c>
      <c r="BB134" s="115">
        <v>0.42</v>
      </c>
      <c r="BC134" s="98">
        <v>25</v>
      </c>
      <c r="BD134" s="93">
        <v>0.875</v>
      </c>
      <c r="BE134" s="94">
        <v>0.82499999999999996</v>
      </c>
      <c r="BF134" s="94">
        <v>0.75</v>
      </c>
      <c r="BG134" s="94">
        <v>0.7</v>
      </c>
      <c r="BH134" s="94">
        <v>0.6</v>
      </c>
      <c r="BI134" s="94">
        <v>0.7</v>
      </c>
      <c r="BJ134" s="94">
        <v>0.75</v>
      </c>
      <c r="BK134" s="95">
        <v>0.75</v>
      </c>
      <c r="BL134" s="123">
        <v>25</v>
      </c>
      <c r="BM134" s="93">
        <v>8.5000000000000006E-3</v>
      </c>
      <c r="BN134" s="94">
        <v>9.0000000000000011E-3</v>
      </c>
      <c r="BO134" s="94">
        <v>0.01</v>
      </c>
      <c r="BP134" s="94">
        <v>0.01</v>
      </c>
      <c r="BQ134" s="94">
        <v>1.0999999999999999E-2</v>
      </c>
      <c r="BR134" s="94">
        <v>1.2700000000000001E-2</v>
      </c>
      <c r="BS134" s="94">
        <v>1.4E-2</v>
      </c>
      <c r="BT134" s="95">
        <v>1.4500000000000001E-2</v>
      </c>
      <c r="BU134" s="124">
        <v>25</v>
      </c>
      <c r="BV134" s="120">
        <v>9.0000000000000011E-3</v>
      </c>
      <c r="BW134" s="121">
        <v>9.0000000000000011E-3</v>
      </c>
      <c r="BX134" s="121">
        <v>9.0000000000000011E-3</v>
      </c>
      <c r="BY134" s="121">
        <v>9.0000000000000011E-3</v>
      </c>
      <c r="BZ134" s="121">
        <v>9.0000000000000011E-3</v>
      </c>
      <c r="CA134" s="121">
        <v>9.0000000000000011E-3</v>
      </c>
      <c r="CB134" s="121">
        <v>9.0000000000000011E-3</v>
      </c>
      <c r="CC134" s="122">
        <v>9.0000000000000011E-3</v>
      </c>
    </row>
    <row r="135" spans="1:81" ht="14.25">
      <c r="A135" s="413"/>
      <c r="B135" s="413"/>
      <c r="C135" s="414"/>
      <c r="D135" s="413"/>
      <c r="E135" s="414"/>
      <c r="F135" s="413"/>
      <c r="G135" s="414"/>
      <c r="H135" s="414"/>
      <c r="I135" s="415"/>
      <c r="J135" s="413"/>
      <c r="K135" s="415"/>
      <c r="L135" s="416"/>
      <c r="M135" s="414"/>
      <c r="R135" s="394">
        <f t="shared" si="39"/>
        <v>51.722222222222939</v>
      </c>
      <c r="AI135" s="98">
        <v>44</v>
      </c>
      <c r="AJ135" s="93">
        <v>0.8</v>
      </c>
      <c r="AK135" s="94">
        <v>0.8</v>
      </c>
      <c r="AL135" s="94">
        <v>0.8</v>
      </c>
      <c r="AM135" s="94">
        <v>0.8</v>
      </c>
      <c r="AN135" s="94">
        <v>0.8</v>
      </c>
      <c r="AO135" s="94">
        <v>0.8</v>
      </c>
      <c r="AP135" s="94">
        <v>0.82</v>
      </c>
      <c r="AQ135" s="95">
        <v>0.82</v>
      </c>
      <c r="AT135" s="98">
        <v>26</v>
      </c>
      <c r="AU135" s="114">
        <v>0.45800000000000002</v>
      </c>
      <c r="AV135" s="112">
        <v>0.45800000000000002</v>
      </c>
      <c r="AW135" s="112">
        <v>0.42799999999999999</v>
      </c>
      <c r="AX135" s="112">
        <v>0.35199999999999998</v>
      </c>
      <c r="AY135" s="112">
        <v>0.35199999999999998</v>
      </c>
      <c r="AZ135" s="112">
        <v>0.35199999999999998</v>
      </c>
      <c r="BA135" s="112">
        <v>0.42</v>
      </c>
      <c r="BB135" s="115">
        <v>0.42</v>
      </c>
      <c r="BC135" s="98">
        <v>26</v>
      </c>
      <c r="BD135" s="93">
        <v>0.88200000000000001</v>
      </c>
      <c r="BE135" s="94">
        <v>0.83200000000000007</v>
      </c>
      <c r="BF135" s="94">
        <v>0.75</v>
      </c>
      <c r="BG135" s="94">
        <v>0.7</v>
      </c>
      <c r="BH135" s="94">
        <v>0.6</v>
      </c>
      <c r="BI135" s="94">
        <v>0.7</v>
      </c>
      <c r="BJ135" s="94">
        <v>0.75</v>
      </c>
      <c r="BK135" s="95">
        <v>0.75</v>
      </c>
      <c r="BL135" s="123">
        <v>26</v>
      </c>
      <c r="BM135" s="93">
        <v>8.5000000000000006E-3</v>
      </c>
      <c r="BN135" s="94">
        <v>9.0000000000000011E-3</v>
      </c>
      <c r="BO135" s="94">
        <v>0.01</v>
      </c>
      <c r="BP135" s="94">
        <v>0.01</v>
      </c>
      <c r="BQ135" s="94">
        <v>1.0999999999999999E-2</v>
      </c>
      <c r="BR135" s="94">
        <v>1.2700000000000001E-2</v>
      </c>
      <c r="BS135" s="94">
        <v>1.4E-2</v>
      </c>
      <c r="BT135" s="95">
        <v>1.4500000000000001E-2</v>
      </c>
      <c r="BU135" s="124">
        <v>26</v>
      </c>
      <c r="BV135" s="120">
        <v>9.0000000000000011E-3</v>
      </c>
      <c r="BW135" s="121">
        <v>9.0000000000000011E-3</v>
      </c>
      <c r="BX135" s="121">
        <v>9.0000000000000011E-3</v>
      </c>
      <c r="BY135" s="121">
        <v>9.0000000000000011E-3</v>
      </c>
      <c r="BZ135" s="121">
        <v>9.0000000000000011E-3</v>
      </c>
      <c r="CA135" s="121">
        <v>9.0000000000000011E-3</v>
      </c>
      <c r="CB135" s="121">
        <v>9.0000000000000011E-3</v>
      </c>
      <c r="CC135" s="122">
        <v>9.0000000000000011E-3</v>
      </c>
    </row>
    <row r="136" spans="1:81" ht="14.25">
      <c r="A136" s="413"/>
      <c r="B136" s="413"/>
      <c r="C136" s="414"/>
      <c r="D136" s="413"/>
      <c r="E136" s="414"/>
      <c r="F136" s="413"/>
      <c r="G136" s="414"/>
      <c r="H136" s="414"/>
      <c r="I136" s="415"/>
      <c r="J136" s="413"/>
      <c r="K136" s="415"/>
      <c r="L136" s="416"/>
      <c r="M136" s="414"/>
      <c r="R136" s="394">
        <f t="shared" si="39"/>
        <v>52.111111111111825</v>
      </c>
      <c r="AI136" s="98">
        <v>45</v>
      </c>
      <c r="AJ136" s="93">
        <v>0.8</v>
      </c>
      <c r="AK136" s="94">
        <v>0.8</v>
      </c>
      <c r="AL136" s="94">
        <v>0.8</v>
      </c>
      <c r="AM136" s="94">
        <v>0.8</v>
      </c>
      <c r="AN136" s="94">
        <v>0.8</v>
      </c>
      <c r="AO136" s="94">
        <v>0.8</v>
      </c>
      <c r="AP136" s="94">
        <v>0.82</v>
      </c>
      <c r="AQ136" s="95">
        <v>0.82</v>
      </c>
      <c r="AT136" s="98">
        <v>27</v>
      </c>
      <c r="AU136" s="114">
        <v>0.46100000000000002</v>
      </c>
      <c r="AV136" s="112">
        <v>0.46100000000000002</v>
      </c>
      <c r="AW136" s="112">
        <v>0.43099999999999999</v>
      </c>
      <c r="AX136" s="112">
        <v>0.35399999999999998</v>
      </c>
      <c r="AY136" s="112">
        <v>0.35399999999999998</v>
      </c>
      <c r="AZ136" s="112">
        <v>0.35399999999999998</v>
      </c>
      <c r="BA136" s="112">
        <v>0.42</v>
      </c>
      <c r="BB136" s="115">
        <v>0.42</v>
      </c>
      <c r="BC136" s="98">
        <v>27</v>
      </c>
      <c r="BD136" s="93">
        <v>0.88900000000000001</v>
      </c>
      <c r="BE136" s="94">
        <v>0.83899999999999997</v>
      </c>
      <c r="BF136" s="94">
        <v>0.75</v>
      </c>
      <c r="BG136" s="94">
        <v>0.7</v>
      </c>
      <c r="BH136" s="94">
        <v>0.6</v>
      </c>
      <c r="BI136" s="94">
        <v>0.7</v>
      </c>
      <c r="BJ136" s="94">
        <v>0.75</v>
      </c>
      <c r="BK136" s="95">
        <v>0.75</v>
      </c>
      <c r="BL136" s="123">
        <v>27</v>
      </c>
      <c r="BM136" s="93">
        <v>8.5000000000000006E-3</v>
      </c>
      <c r="BN136" s="94">
        <v>9.0000000000000011E-3</v>
      </c>
      <c r="BO136" s="94">
        <v>0.01</v>
      </c>
      <c r="BP136" s="94">
        <v>0.01</v>
      </c>
      <c r="BQ136" s="94">
        <v>1.0999999999999999E-2</v>
      </c>
      <c r="BR136" s="94">
        <v>1.2700000000000001E-2</v>
      </c>
      <c r="BS136" s="94">
        <v>1.4E-2</v>
      </c>
      <c r="BT136" s="95">
        <v>1.4500000000000001E-2</v>
      </c>
      <c r="BU136" s="124">
        <v>27</v>
      </c>
      <c r="BV136" s="120">
        <v>9.0000000000000011E-3</v>
      </c>
      <c r="BW136" s="121">
        <v>9.0000000000000011E-3</v>
      </c>
      <c r="BX136" s="121">
        <v>9.0000000000000011E-3</v>
      </c>
      <c r="BY136" s="121">
        <v>9.0000000000000011E-3</v>
      </c>
      <c r="BZ136" s="121">
        <v>9.0000000000000011E-3</v>
      </c>
      <c r="CA136" s="121">
        <v>9.0000000000000011E-3</v>
      </c>
      <c r="CB136" s="121">
        <v>9.0000000000000011E-3</v>
      </c>
      <c r="CC136" s="122">
        <v>9.0000000000000011E-3</v>
      </c>
    </row>
    <row r="137" spans="1:81" ht="14.25">
      <c r="A137" s="413"/>
      <c r="B137" s="413"/>
      <c r="C137" s="414"/>
      <c r="D137" s="413"/>
      <c r="E137" s="414"/>
      <c r="F137" s="413"/>
      <c r="G137" s="414"/>
      <c r="H137" s="414"/>
      <c r="I137" s="415"/>
      <c r="J137" s="413"/>
      <c r="K137" s="415"/>
      <c r="L137" s="416"/>
      <c r="M137" s="414"/>
      <c r="R137" s="394">
        <f t="shared" si="39"/>
        <v>52.500000000000711</v>
      </c>
      <c r="AI137" s="98">
        <v>46</v>
      </c>
      <c r="AJ137" s="93">
        <v>0.8</v>
      </c>
      <c r="AK137" s="94">
        <v>0.8</v>
      </c>
      <c r="AL137" s="94">
        <v>0.8</v>
      </c>
      <c r="AM137" s="94">
        <v>0.8</v>
      </c>
      <c r="AN137" s="94">
        <v>0.8</v>
      </c>
      <c r="AO137" s="94">
        <v>0.8</v>
      </c>
      <c r="AP137" s="94">
        <v>0.82</v>
      </c>
      <c r="AQ137" s="95">
        <v>0.82</v>
      </c>
      <c r="AT137" s="98">
        <v>28</v>
      </c>
      <c r="AU137" s="114">
        <v>0.46400000000000002</v>
      </c>
      <c r="AV137" s="112">
        <v>0.46400000000000002</v>
      </c>
      <c r="AW137" s="112">
        <v>0.434</v>
      </c>
      <c r="AX137" s="112">
        <v>0.35599999999999998</v>
      </c>
      <c r="AY137" s="112">
        <v>0.35599999999999998</v>
      </c>
      <c r="AZ137" s="112">
        <v>0.35599999999999998</v>
      </c>
      <c r="BA137" s="112">
        <v>0.42</v>
      </c>
      <c r="BB137" s="115">
        <v>0.42</v>
      </c>
      <c r="BC137" s="98">
        <v>28</v>
      </c>
      <c r="BD137" s="93">
        <v>0.89600000000000002</v>
      </c>
      <c r="BE137" s="94">
        <v>0.84599999999999997</v>
      </c>
      <c r="BF137" s="94">
        <v>0.75</v>
      </c>
      <c r="BG137" s="94">
        <v>0.7</v>
      </c>
      <c r="BH137" s="94">
        <v>0.6</v>
      </c>
      <c r="BI137" s="94">
        <v>0.7</v>
      </c>
      <c r="BJ137" s="94">
        <v>0.75</v>
      </c>
      <c r="BK137" s="95">
        <v>0.75</v>
      </c>
      <c r="BL137" s="123">
        <v>28</v>
      </c>
      <c r="BM137" s="93">
        <v>8.5000000000000006E-3</v>
      </c>
      <c r="BN137" s="94">
        <v>9.0000000000000011E-3</v>
      </c>
      <c r="BO137" s="94">
        <v>0.01</v>
      </c>
      <c r="BP137" s="94">
        <v>0.01</v>
      </c>
      <c r="BQ137" s="94">
        <v>1.0999999999999999E-2</v>
      </c>
      <c r="BR137" s="94">
        <v>1.2700000000000001E-2</v>
      </c>
      <c r="BS137" s="94">
        <v>1.4E-2</v>
      </c>
      <c r="BT137" s="95">
        <v>1.4500000000000001E-2</v>
      </c>
      <c r="BU137" s="124">
        <v>28</v>
      </c>
      <c r="BV137" s="120">
        <v>9.0000000000000011E-3</v>
      </c>
      <c r="BW137" s="121">
        <v>9.0000000000000011E-3</v>
      </c>
      <c r="BX137" s="121">
        <v>9.0000000000000011E-3</v>
      </c>
      <c r="BY137" s="121">
        <v>9.0000000000000011E-3</v>
      </c>
      <c r="BZ137" s="121">
        <v>9.0000000000000011E-3</v>
      </c>
      <c r="CA137" s="121">
        <v>9.0000000000000011E-3</v>
      </c>
      <c r="CB137" s="121">
        <v>9.0000000000000011E-3</v>
      </c>
      <c r="CC137" s="122">
        <v>9.0000000000000011E-3</v>
      </c>
    </row>
    <row r="138" spans="1:81" ht="14.25">
      <c r="A138" s="413"/>
      <c r="B138" s="413"/>
      <c r="C138" s="414"/>
      <c r="D138" s="413"/>
      <c r="E138" s="414"/>
      <c r="F138" s="413"/>
      <c r="G138" s="414"/>
      <c r="H138" s="414"/>
      <c r="I138" s="415"/>
      <c r="J138" s="413"/>
      <c r="K138" s="415"/>
      <c r="L138" s="416"/>
      <c r="M138" s="414"/>
      <c r="R138" s="394">
        <f t="shared" si="39"/>
        <v>52.888888888889596</v>
      </c>
      <c r="AI138" s="98">
        <v>47</v>
      </c>
      <c r="AJ138" s="93">
        <v>0.8</v>
      </c>
      <c r="AK138" s="94">
        <v>0.8</v>
      </c>
      <c r="AL138" s="94">
        <v>0.8</v>
      </c>
      <c r="AM138" s="94">
        <v>0.8</v>
      </c>
      <c r="AN138" s="94">
        <v>0.8</v>
      </c>
      <c r="AO138" s="94">
        <v>0.8</v>
      </c>
      <c r="AP138" s="94">
        <v>0.82</v>
      </c>
      <c r="AQ138" s="95">
        <v>0.82</v>
      </c>
      <c r="AT138" s="98">
        <v>29</v>
      </c>
      <c r="AU138" s="114">
        <v>0.46700000000000003</v>
      </c>
      <c r="AV138" s="112">
        <v>0.46700000000000003</v>
      </c>
      <c r="AW138" s="112">
        <v>0.437</v>
      </c>
      <c r="AX138" s="112">
        <v>0.35799999999999998</v>
      </c>
      <c r="AY138" s="112">
        <v>0.35799999999999998</v>
      </c>
      <c r="AZ138" s="112">
        <v>0.35799999999999998</v>
      </c>
      <c r="BA138" s="112">
        <v>0.42</v>
      </c>
      <c r="BB138" s="115">
        <v>0.42</v>
      </c>
      <c r="BC138" s="98">
        <v>29</v>
      </c>
      <c r="BD138" s="93">
        <v>0.90300000000000002</v>
      </c>
      <c r="BE138" s="94">
        <v>0.85299999999999998</v>
      </c>
      <c r="BF138" s="94">
        <v>0.75</v>
      </c>
      <c r="BG138" s="94">
        <v>0.7</v>
      </c>
      <c r="BH138" s="94">
        <v>0.6</v>
      </c>
      <c r="BI138" s="94">
        <v>0.7</v>
      </c>
      <c r="BJ138" s="94">
        <v>0.75</v>
      </c>
      <c r="BK138" s="95">
        <v>0.75</v>
      </c>
      <c r="BL138" s="123">
        <v>29</v>
      </c>
      <c r="BM138" s="93">
        <v>8.5000000000000006E-3</v>
      </c>
      <c r="BN138" s="94">
        <v>9.0000000000000011E-3</v>
      </c>
      <c r="BO138" s="94">
        <v>0.01</v>
      </c>
      <c r="BP138" s="94">
        <v>0.01</v>
      </c>
      <c r="BQ138" s="94">
        <v>1.0999999999999999E-2</v>
      </c>
      <c r="BR138" s="94">
        <v>1.2700000000000001E-2</v>
      </c>
      <c r="BS138" s="94">
        <v>1.4E-2</v>
      </c>
      <c r="BT138" s="95">
        <v>1.4500000000000001E-2</v>
      </c>
      <c r="BU138" s="124">
        <v>29</v>
      </c>
      <c r="BV138" s="120">
        <v>9.0000000000000011E-3</v>
      </c>
      <c r="BW138" s="121">
        <v>9.0000000000000011E-3</v>
      </c>
      <c r="BX138" s="121">
        <v>9.0000000000000011E-3</v>
      </c>
      <c r="BY138" s="121">
        <v>9.0000000000000011E-3</v>
      </c>
      <c r="BZ138" s="121">
        <v>9.0000000000000011E-3</v>
      </c>
      <c r="CA138" s="121">
        <v>9.0000000000000011E-3</v>
      </c>
      <c r="CB138" s="121">
        <v>9.0000000000000011E-3</v>
      </c>
      <c r="CC138" s="122">
        <v>9.0000000000000011E-3</v>
      </c>
    </row>
    <row r="139" spans="1:81" ht="14.25">
      <c r="A139" s="413"/>
      <c r="B139" s="413"/>
      <c r="C139" s="414"/>
      <c r="D139" s="413"/>
      <c r="E139" s="414"/>
      <c r="F139" s="413"/>
      <c r="G139" s="414"/>
      <c r="H139" s="414"/>
      <c r="I139" s="415"/>
      <c r="J139" s="413"/>
      <c r="K139" s="415"/>
      <c r="L139" s="416"/>
      <c r="M139" s="414"/>
      <c r="R139" s="394">
        <f t="shared" si="39"/>
        <v>53.277777777778482</v>
      </c>
      <c r="AI139" s="98">
        <v>48</v>
      </c>
      <c r="AJ139" s="93">
        <v>0.8</v>
      </c>
      <c r="AK139" s="94">
        <v>0.8</v>
      </c>
      <c r="AL139" s="94">
        <v>0.8</v>
      </c>
      <c r="AM139" s="94">
        <v>0.8</v>
      </c>
      <c r="AN139" s="94">
        <v>0.8</v>
      </c>
      <c r="AO139" s="94">
        <v>0.8</v>
      </c>
      <c r="AP139" s="94">
        <v>0.82</v>
      </c>
      <c r="AQ139" s="95">
        <v>0.82</v>
      </c>
      <c r="AT139" s="98">
        <v>30</v>
      </c>
      <c r="AU139" s="114">
        <v>0.47</v>
      </c>
      <c r="AV139" s="112">
        <v>0.47</v>
      </c>
      <c r="AW139" s="112">
        <v>0.44</v>
      </c>
      <c r="AX139" s="112">
        <v>0.36</v>
      </c>
      <c r="AY139" s="112">
        <v>0.36</v>
      </c>
      <c r="AZ139" s="112">
        <v>0.36</v>
      </c>
      <c r="BA139" s="112">
        <v>0.42</v>
      </c>
      <c r="BB139" s="115">
        <v>0.42</v>
      </c>
      <c r="BC139" s="98">
        <v>30</v>
      </c>
      <c r="BD139" s="93">
        <v>0.91</v>
      </c>
      <c r="BE139" s="94">
        <v>0.86</v>
      </c>
      <c r="BF139" s="94">
        <v>0.75</v>
      </c>
      <c r="BG139" s="94">
        <v>0.7</v>
      </c>
      <c r="BH139" s="94">
        <v>0.6</v>
      </c>
      <c r="BI139" s="94">
        <v>0.7</v>
      </c>
      <c r="BJ139" s="94">
        <v>0.75</v>
      </c>
      <c r="BK139" s="95">
        <v>0.75</v>
      </c>
      <c r="BL139" s="123">
        <v>30</v>
      </c>
      <c r="BM139" s="93">
        <v>8.5000000000000006E-3</v>
      </c>
      <c r="BN139" s="94">
        <v>9.0000000000000011E-3</v>
      </c>
      <c r="BO139" s="94">
        <v>0.01</v>
      </c>
      <c r="BP139" s="94">
        <v>0.01</v>
      </c>
      <c r="BQ139" s="94">
        <v>1.0999999999999999E-2</v>
      </c>
      <c r="BR139" s="94">
        <v>1.2700000000000001E-2</v>
      </c>
      <c r="BS139" s="94">
        <v>1.4E-2</v>
      </c>
      <c r="BT139" s="95">
        <v>1.4500000000000001E-2</v>
      </c>
      <c r="BU139" s="124">
        <v>30</v>
      </c>
      <c r="BV139" s="120">
        <v>9.0000000000000011E-3</v>
      </c>
      <c r="BW139" s="121">
        <v>9.0000000000000011E-3</v>
      </c>
      <c r="BX139" s="121">
        <v>9.0000000000000011E-3</v>
      </c>
      <c r="BY139" s="121">
        <v>9.0000000000000011E-3</v>
      </c>
      <c r="BZ139" s="121">
        <v>9.0000000000000011E-3</v>
      </c>
      <c r="CA139" s="121">
        <v>9.0000000000000011E-3</v>
      </c>
      <c r="CB139" s="121">
        <v>9.0000000000000011E-3</v>
      </c>
      <c r="CC139" s="122">
        <v>9.0000000000000011E-3</v>
      </c>
    </row>
    <row r="140" spans="1:81" ht="14.25">
      <c r="A140" s="413"/>
      <c r="B140" s="413"/>
      <c r="C140" s="414"/>
      <c r="D140" s="413"/>
      <c r="E140" s="414"/>
      <c r="F140" s="413"/>
      <c r="G140" s="414"/>
      <c r="H140" s="414"/>
      <c r="I140" s="415"/>
      <c r="J140" s="413"/>
      <c r="K140" s="415"/>
      <c r="L140" s="416"/>
      <c r="M140" s="414"/>
      <c r="R140" s="394">
        <f t="shared" si="39"/>
        <v>53.666666666667368</v>
      </c>
      <c r="AI140" s="98">
        <v>49</v>
      </c>
      <c r="AJ140" s="93">
        <v>0.8</v>
      </c>
      <c r="AK140" s="94">
        <v>0.8</v>
      </c>
      <c r="AL140" s="94">
        <v>0.8</v>
      </c>
      <c r="AM140" s="94">
        <v>0.8</v>
      </c>
      <c r="AN140" s="94">
        <v>0.8</v>
      </c>
      <c r="AO140" s="94">
        <v>0.8</v>
      </c>
      <c r="AP140" s="94">
        <v>0.82</v>
      </c>
      <c r="AQ140" s="95">
        <v>0.82</v>
      </c>
      <c r="AT140" s="98">
        <v>31</v>
      </c>
      <c r="AU140" s="114">
        <v>0.47300000000000003</v>
      </c>
      <c r="AV140" s="112">
        <v>0.47300000000000003</v>
      </c>
      <c r="AW140" s="112">
        <v>0.443</v>
      </c>
      <c r="AX140" s="112">
        <v>0.36199999999999999</v>
      </c>
      <c r="AY140" s="112">
        <v>0.36199999999999999</v>
      </c>
      <c r="AZ140" s="112">
        <v>0.36199999999999999</v>
      </c>
      <c r="BA140" s="112">
        <v>0.42</v>
      </c>
      <c r="BB140" s="115">
        <v>0.42</v>
      </c>
      <c r="BC140" s="98">
        <v>31</v>
      </c>
      <c r="BD140" s="93">
        <v>0.91700000000000004</v>
      </c>
      <c r="BE140" s="94">
        <v>0.86699999999999999</v>
      </c>
      <c r="BF140" s="94">
        <v>0.75</v>
      </c>
      <c r="BG140" s="94">
        <v>0.7</v>
      </c>
      <c r="BH140" s="94">
        <v>0.6</v>
      </c>
      <c r="BI140" s="94">
        <v>0.7</v>
      </c>
      <c r="BJ140" s="94">
        <v>0.75</v>
      </c>
      <c r="BK140" s="95">
        <v>0.75</v>
      </c>
      <c r="BL140" s="123">
        <v>31</v>
      </c>
      <c r="BM140" s="93">
        <v>8.5000000000000006E-3</v>
      </c>
      <c r="BN140" s="94">
        <v>9.0000000000000011E-3</v>
      </c>
      <c r="BO140" s="94">
        <v>0.01</v>
      </c>
      <c r="BP140" s="94">
        <v>0.01</v>
      </c>
      <c r="BQ140" s="94">
        <v>1.0999999999999999E-2</v>
      </c>
      <c r="BR140" s="94">
        <v>1.2700000000000001E-2</v>
      </c>
      <c r="BS140" s="94">
        <v>1.4E-2</v>
      </c>
      <c r="BT140" s="95">
        <v>1.4500000000000001E-2</v>
      </c>
      <c r="BU140" s="124">
        <v>31</v>
      </c>
      <c r="BV140" s="120">
        <v>9.0000000000000011E-3</v>
      </c>
      <c r="BW140" s="121">
        <v>9.0000000000000011E-3</v>
      </c>
      <c r="BX140" s="121">
        <v>9.0000000000000011E-3</v>
      </c>
      <c r="BY140" s="121">
        <v>9.0000000000000011E-3</v>
      </c>
      <c r="BZ140" s="121">
        <v>9.0000000000000011E-3</v>
      </c>
      <c r="CA140" s="121">
        <v>9.0000000000000011E-3</v>
      </c>
      <c r="CB140" s="121">
        <v>9.0000000000000011E-3</v>
      </c>
      <c r="CC140" s="122">
        <v>9.0000000000000011E-3</v>
      </c>
    </row>
    <row r="141" spans="1:81" ht="14.25">
      <c r="A141" s="413"/>
      <c r="B141" s="413"/>
      <c r="C141" s="414"/>
      <c r="D141" s="413"/>
      <c r="E141" s="414"/>
      <c r="F141" s="413"/>
      <c r="G141" s="414"/>
      <c r="H141" s="414"/>
      <c r="I141" s="415"/>
      <c r="J141" s="413"/>
      <c r="K141" s="415"/>
      <c r="L141" s="416"/>
      <c r="M141" s="414"/>
      <c r="R141" s="394">
        <f t="shared" si="39"/>
        <v>54.055555555556253</v>
      </c>
      <c r="AI141" s="98">
        <v>50</v>
      </c>
      <c r="AJ141" s="93">
        <v>0.8</v>
      </c>
      <c r="AK141" s="94">
        <v>0.8</v>
      </c>
      <c r="AL141" s="94">
        <v>0.8</v>
      </c>
      <c r="AM141" s="94">
        <v>0.8</v>
      </c>
      <c r="AN141" s="94">
        <v>0.8</v>
      </c>
      <c r="AO141" s="94">
        <v>0.8</v>
      </c>
      <c r="AP141" s="94">
        <v>0.82</v>
      </c>
      <c r="AQ141" s="95">
        <v>0.82</v>
      </c>
      <c r="AT141" s="98">
        <v>32</v>
      </c>
      <c r="AU141" s="114">
        <v>0.47600000000000003</v>
      </c>
      <c r="AV141" s="112">
        <v>0.47600000000000003</v>
      </c>
      <c r="AW141" s="112">
        <v>0.44600000000000001</v>
      </c>
      <c r="AX141" s="112">
        <v>0.36399999999999999</v>
      </c>
      <c r="AY141" s="112">
        <v>0.36399999999999999</v>
      </c>
      <c r="AZ141" s="112">
        <v>0.36399999999999999</v>
      </c>
      <c r="BA141" s="112">
        <v>0.42</v>
      </c>
      <c r="BB141" s="115">
        <v>0.42</v>
      </c>
      <c r="BC141" s="98">
        <v>32</v>
      </c>
      <c r="BD141" s="93">
        <v>0.92400000000000004</v>
      </c>
      <c r="BE141" s="94">
        <v>0.874</v>
      </c>
      <c r="BF141" s="94">
        <v>0.75</v>
      </c>
      <c r="BG141" s="94">
        <v>0.7</v>
      </c>
      <c r="BH141" s="94">
        <v>0.6</v>
      </c>
      <c r="BI141" s="94">
        <v>0.7</v>
      </c>
      <c r="BJ141" s="94">
        <v>0.75</v>
      </c>
      <c r="BK141" s="95">
        <v>0.75</v>
      </c>
      <c r="BL141" s="123">
        <v>32</v>
      </c>
      <c r="BM141" s="93">
        <v>8.5000000000000006E-3</v>
      </c>
      <c r="BN141" s="94">
        <v>9.0000000000000011E-3</v>
      </c>
      <c r="BO141" s="94">
        <v>0.01</v>
      </c>
      <c r="BP141" s="94">
        <v>0.01</v>
      </c>
      <c r="BQ141" s="94">
        <v>1.0999999999999999E-2</v>
      </c>
      <c r="BR141" s="94">
        <v>1.2700000000000001E-2</v>
      </c>
      <c r="BS141" s="94">
        <v>1.4E-2</v>
      </c>
      <c r="BT141" s="95">
        <v>1.4500000000000001E-2</v>
      </c>
      <c r="BU141" s="124">
        <v>32</v>
      </c>
      <c r="BV141" s="120">
        <v>9.0000000000000011E-3</v>
      </c>
      <c r="BW141" s="121">
        <v>9.0000000000000011E-3</v>
      </c>
      <c r="BX141" s="121">
        <v>9.0000000000000011E-3</v>
      </c>
      <c r="BY141" s="121">
        <v>9.0000000000000011E-3</v>
      </c>
      <c r="BZ141" s="121">
        <v>9.0000000000000011E-3</v>
      </c>
      <c r="CA141" s="121">
        <v>9.0000000000000011E-3</v>
      </c>
      <c r="CB141" s="121">
        <v>9.0000000000000011E-3</v>
      </c>
      <c r="CC141" s="122">
        <v>9.0000000000000011E-3</v>
      </c>
    </row>
    <row r="142" spans="1:81" ht="14.25">
      <c r="A142" s="413"/>
      <c r="B142" s="413"/>
      <c r="C142" s="414"/>
      <c r="D142" s="413"/>
      <c r="E142" s="414"/>
      <c r="F142" s="413"/>
      <c r="G142" s="414"/>
      <c r="H142" s="414"/>
      <c r="I142" s="415"/>
      <c r="J142" s="413"/>
      <c r="K142" s="415"/>
      <c r="L142" s="416"/>
      <c r="M142" s="414"/>
      <c r="R142" s="394">
        <f t="shared" si="39"/>
        <v>54.444444444445139</v>
      </c>
      <c r="AI142" s="98">
        <v>51</v>
      </c>
      <c r="AJ142" s="93">
        <v>0.8</v>
      </c>
      <c r="AK142" s="94">
        <v>0.8</v>
      </c>
      <c r="AL142" s="94">
        <v>0.8</v>
      </c>
      <c r="AM142" s="94">
        <v>0.8</v>
      </c>
      <c r="AN142" s="94">
        <v>0.8</v>
      </c>
      <c r="AO142" s="94">
        <v>0.8</v>
      </c>
      <c r="AP142" s="94">
        <v>0.82</v>
      </c>
      <c r="AQ142" s="95">
        <v>0.82</v>
      </c>
      <c r="AT142" s="98">
        <v>33</v>
      </c>
      <c r="AU142" s="114">
        <v>0.47900000000000004</v>
      </c>
      <c r="AV142" s="112">
        <v>0.47900000000000004</v>
      </c>
      <c r="AW142" s="112">
        <v>0.44900000000000001</v>
      </c>
      <c r="AX142" s="112">
        <v>0.36599999999999999</v>
      </c>
      <c r="AY142" s="112">
        <v>0.36599999999999999</v>
      </c>
      <c r="AZ142" s="112">
        <v>0.36599999999999999</v>
      </c>
      <c r="BA142" s="112">
        <v>0.42</v>
      </c>
      <c r="BB142" s="115">
        <v>0.42</v>
      </c>
      <c r="BC142" s="98">
        <v>33</v>
      </c>
      <c r="BD142" s="93">
        <v>0.93100000000000005</v>
      </c>
      <c r="BE142" s="94">
        <v>0.88100000000000001</v>
      </c>
      <c r="BF142" s="94">
        <v>0.75</v>
      </c>
      <c r="BG142" s="94">
        <v>0.7</v>
      </c>
      <c r="BH142" s="94">
        <v>0.6</v>
      </c>
      <c r="BI142" s="94">
        <v>0.7</v>
      </c>
      <c r="BJ142" s="94">
        <v>0.75</v>
      </c>
      <c r="BK142" s="95">
        <v>0.75</v>
      </c>
      <c r="BL142" s="123">
        <v>33</v>
      </c>
      <c r="BM142" s="93">
        <v>8.5000000000000006E-3</v>
      </c>
      <c r="BN142" s="94">
        <v>9.0000000000000011E-3</v>
      </c>
      <c r="BO142" s="94">
        <v>0.01</v>
      </c>
      <c r="BP142" s="94">
        <v>0.01</v>
      </c>
      <c r="BQ142" s="94">
        <v>1.0999999999999999E-2</v>
      </c>
      <c r="BR142" s="94">
        <v>1.2700000000000001E-2</v>
      </c>
      <c r="BS142" s="94">
        <v>1.4E-2</v>
      </c>
      <c r="BT142" s="95">
        <v>1.4500000000000001E-2</v>
      </c>
      <c r="BU142" s="124">
        <v>33</v>
      </c>
      <c r="BV142" s="120">
        <v>9.0000000000000011E-3</v>
      </c>
      <c r="BW142" s="121">
        <v>9.0000000000000011E-3</v>
      </c>
      <c r="BX142" s="121">
        <v>9.0000000000000011E-3</v>
      </c>
      <c r="BY142" s="121">
        <v>9.0000000000000011E-3</v>
      </c>
      <c r="BZ142" s="121">
        <v>9.0000000000000011E-3</v>
      </c>
      <c r="CA142" s="121">
        <v>9.0000000000000011E-3</v>
      </c>
      <c r="CB142" s="121">
        <v>9.0000000000000011E-3</v>
      </c>
      <c r="CC142" s="122">
        <v>9.0000000000000011E-3</v>
      </c>
    </row>
    <row r="143" spans="1:81" ht="14.25">
      <c r="A143" s="413"/>
      <c r="B143" s="413"/>
      <c r="C143" s="414"/>
      <c r="D143" s="413"/>
      <c r="E143" s="414"/>
      <c r="F143" s="413"/>
      <c r="G143" s="414"/>
      <c r="H143" s="414"/>
      <c r="I143" s="415"/>
      <c r="J143" s="413"/>
      <c r="K143" s="415"/>
      <c r="L143" s="416"/>
      <c r="M143" s="414"/>
      <c r="R143" s="394">
        <f t="shared" si="39"/>
        <v>54.833333333334025</v>
      </c>
      <c r="AI143" s="98">
        <v>52</v>
      </c>
      <c r="AJ143" s="93">
        <v>0.8</v>
      </c>
      <c r="AK143" s="94">
        <v>0.8</v>
      </c>
      <c r="AL143" s="94">
        <v>0.8</v>
      </c>
      <c r="AM143" s="94">
        <v>0.8</v>
      </c>
      <c r="AN143" s="94">
        <v>0.8</v>
      </c>
      <c r="AO143" s="94">
        <v>0.8</v>
      </c>
      <c r="AP143" s="94">
        <v>0.82</v>
      </c>
      <c r="AQ143" s="95">
        <v>0.82</v>
      </c>
      <c r="AT143" s="98">
        <v>34</v>
      </c>
      <c r="AU143" s="114">
        <v>0.48199999999999998</v>
      </c>
      <c r="AV143" s="112">
        <v>0.48199999999999998</v>
      </c>
      <c r="AW143" s="112">
        <v>0.45200000000000001</v>
      </c>
      <c r="AX143" s="112">
        <v>0.36799999999999999</v>
      </c>
      <c r="AY143" s="112">
        <v>0.36799999999999999</v>
      </c>
      <c r="AZ143" s="112">
        <v>0.36799999999999999</v>
      </c>
      <c r="BA143" s="112">
        <v>0.42</v>
      </c>
      <c r="BB143" s="115">
        <v>0.42</v>
      </c>
      <c r="BC143" s="98">
        <v>34</v>
      </c>
      <c r="BD143" s="93">
        <v>0.93800000000000006</v>
      </c>
      <c r="BE143" s="94">
        <v>0.88800000000000001</v>
      </c>
      <c r="BF143" s="94">
        <v>0.75</v>
      </c>
      <c r="BG143" s="94">
        <v>0.7</v>
      </c>
      <c r="BH143" s="94">
        <v>0.6</v>
      </c>
      <c r="BI143" s="94">
        <v>0.7</v>
      </c>
      <c r="BJ143" s="94">
        <v>0.75</v>
      </c>
      <c r="BK143" s="95">
        <v>0.75</v>
      </c>
      <c r="BL143" s="123">
        <v>34</v>
      </c>
      <c r="BM143" s="93">
        <v>8.5000000000000006E-3</v>
      </c>
      <c r="BN143" s="94">
        <v>9.0000000000000011E-3</v>
      </c>
      <c r="BO143" s="94">
        <v>0.01</v>
      </c>
      <c r="BP143" s="94">
        <v>0.01</v>
      </c>
      <c r="BQ143" s="94">
        <v>1.0999999999999999E-2</v>
      </c>
      <c r="BR143" s="94">
        <v>1.2700000000000001E-2</v>
      </c>
      <c r="BS143" s="94">
        <v>1.4E-2</v>
      </c>
      <c r="BT143" s="95">
        <v>1.4500000000000001E-2</v>
      </c>
      <c r="BU143" s="124">
        <v>34</v>
      </c>
      <c r="BV143" s="120">
        <v>9.0000000000000011E-3</v>
      </c>
      <c r="BW143" s="121">
        <v>9.0000000000000011E-3</v>
      </c>
      <c r="BX143" s="121">
        <v>9.0000000000000011E-3</v>
      </c>
      <c r="BY143" s="121">
        <v>9.0000000000000011E-3</v>
      </c>
      <c r="BZ143" s="121">
        <v>9.0000000000000011E-3</v>
      </c>
      <c r="CA143" s="121">
        <v>9.0000000000000011E-3</v>
      </c>
      <c r="CB143" s="121">
        <v>9.0000000000000011E-3</v>
      </c>
      <c r="CC143" s="122">
        <v>9.0000000000000011E-3</v>
      </c>
    </row>
    <row r="144" spans="1:81" ht="14.25">
      <c r="A144" s="413"/>
      <c r="B144" s="413"/>
      <c r="C144" s="414"/>
      <c r="D144" s="413"/>
      <c r="E144" s="414"/>
      <c r="F144" s="413"/>
      <c r="G144" s="414"/>
      <c r="H144" s="414"/>
      <c r="I144" s="415"/>
      <c r="J144" s="413"/>
      <c r="K144" s="415"/>
      <c r="L144" s="416"/>
      <c r="M144" s="414"/>
      <c r="R144" s="394">
        <f t="shared" si="39"/>
        <v>55.222222222222911</v>
      </c>
      <c r="AI144" s="98">
        <v>53</v>
      </c>
      <c r="AJ144" s="93">
        <v>0.8</v>
      </c>
      <c r="AK144" s="94">
        <v>0.8</v>
      </c>
      <c r="AL144" s="94">
        <v>0.8</v>
      </c>
      <c r="AM144" s="94">
        <v>0.8</v>
      </c>
      <c r="AN144" s="94">
        <v>0.8</v>
      </c>
      <c r="AO144" s="94">
        <v>0.8</v>
      </c>
      <c r="AP144" s="94">
        <v>0.82</v>
      </c>
      <c r="AQ144" s="95">
        <v>0.82</v>
      </c>
      <c r="AT144" s="98">
        <v>35</v>
      </c>
      <c r="AU144" s="114">
        <v>0.48499999999999999</v>
      </c>
      <c r="AV144" s="112">
        <v>0.48499999999999999</v>
      </c>
      <c r="AW144" s="112">
        <v>0.45500000000000002</v>
      </c>
      <c r="AX144" s="112">
        <v>0.37</v>
      </c>
      <c r="AY144" s="112">
        <v>0.37</v>
      </c>
      <c r="AZ144" s="112">
        <v>0.37</v>
      </c>
      <c r="BA144" s="112">
        <v>0.42</v>
      </c>
      <c r="BB144" s="115">
        <v>0.42</v>
      </c>
      <c r="BC144" s="98">
        <v>35</v>
      </c>
      <c r="BD144" s="93">
        <v>0.94499999999999995</v>
      </c>
      <c r="BE144" s="94">
        <v>0.89500000000000002</v>
      </c>
      <c r="BF144" s="94">
        <v>0.75</v>
      </c>
      <c r="BG144" s="94">
        <v>0.7</v>
      </c>
      <c r="BH144" s="94">
        <v>0.6</v>
      </c>
      <c r="BI144" s="94">
        <v>0.7</v>
      </c>
      <c r="BJ144" s="94">
        <v>0.75</v>
      </c>
      <c r="BK144" s="95">
        <v>0.75</v>
      </c>
      <c r="BL144" s="123">
        <v>35</v>
      </c>
      <c r="BM144" s="93">
        <v>8.5000000000000006E-3</v>
      </c>
      <c r="BN144" s="94">
        <v>9.0000000000000011E-3</v>
      </c>
      <c r="BO144" s="94">
        <v>0.01</v>
      </c>
      <c r="BP144" s="94">
        <v>0.01</v>
      </c>
      <c r="BQ144" s="94">
        <v>1.0999999999999999E-2</v>
      </c>
      <c r="BR144" s="94">
        <v>1.2700000000000001E-2</v>
      </c>
      <c r="BS144" s="94">
        <v>1.4E-2</v>
      </c>
      <c r="BT144" s="95">
        <v>1.4500000000000001E-2</v>
      </c>
      <c r="BU144" s="124">
        <v>35</v>
      </c>
      <c r="BV144" s="120">
        <v>9.0000000000000011E-3</v>
      </c>
      <c r="BW144" s="121">
        <v>9.0000000000000011E-3</v>
      </c>
      <c r="BX144" s="121">
        <v>9.0000000000000011E-3</v>
      </c>
      <c r="BY144" s="121">
        <v>9.0000000000000011E-3</v>
      </c>
      <c r="BZ144" s="121">
        <v>9.0000000000000011E-3</v>
      </c>
      <c r="CA144" s="121">
        <v>9.0000000000000011E-3</v>
      </c>
      <c r="CB144" s="121">
        <v>9.0000000000000011E-3</v>
      </c>
      <c r="CC144" s="122">
        <v>9.0000000000000011E-3</v>
      </c>
    </row>
    <row r="145" spans="1:81" ht="14.25">
      <c r="A145" s="413"/>
      <c r="B145" s="413"/>
      <c r="C145" s="414"/>
      <c r="D145" s="413"/>
      <c r="E145" s="414"/>
      <c r="F145" s="413"/>
      <c r="G145" s="414"/>
      <c r="H145" s="414"/>
      <c r="I145" s="415"/>
      <c r="J145" s="413"/>
      <c r="K145" s="415"/>
      <c r="L145" s="416"/>
      <c r="M145" s="414"/>
      <c r="R145" s="394">
        <f t="shared" si="39"/>
        <v>55.611111111111796</v>
      </c>
      <c r="AI145" s="98">
        <v>54</v>
      </c>
      <c r="AJ145" s="93">
        <v>0.8</v>
      </c>
      <c r="AK145" s="94">
        <v>0.8</v>
      </c>
      <c r="AL145" s="94">
        <v>0.8</v>
      </c>
      <c r="AM145" s="94">
        <v>0.8</v>
      </c>
      <c r="AN145" s="94">
        <v>0.8</v>
      </c>
      <c r="AO145" s="94">
        <v>0.8</v>
      </c>
      <c r="AP145" s="94">
        <v>0.82</v>
      </c>
      <c r="AQ145" s="95">
        <v>0.82</v>
      </c>
      <c r="AT145" s="98">
        <v>36</v>
      </c>
      <c r="AU145" s="114">
        <v>0.48799999999999999</v>
      </c>
      <c r="AV145" s="112">
        <v>0.48799999999999999</v>
      </c>
      <c r="AW145" s="112">
        <v>0.45800000000000002</v>
      </c>
      <c r="AX145" s="112">
        <v>0.372</v>
      </c>
      <c r="AY145" s="112">
        <v>0.372</v>
      </c>
      <c r="AZ145" s="112">
        <v>0.372</v>
      </c>
      <c r="BA145" s="112">
        <v>0.42</v>
      </c>
      <c r="BB145" s="115">
        <v>0.42</v>
      </c>
      <c r="BC145" s="98">
        <v>36</v>
      </c>
      <c r="BD145" s="93">
        <v>0.95200000000000007</v>
      </c>
      <c r="BE145" s="94">
        <v>0.90200000000000002</v>
      </c>
      <c r="BF145" s="94">
        <v>0.75</v>
      </c>
      <c r="BG145" s="94">
        <v>0.7</v>
      </c>
      <c r="BH145" s="94">
        <v>0.6</v>
      </c>
      <c r="BI145" s="94">
        <v>0.7</v>
      </c>
      <c r="BJ145" s="94">
        <v>0.75</v>
      </c>
      <c r="BK145" s="95">
        <v>0.75</v>
      </c>
      <c r="BL145" s="123">
        <v>36</v>
      </c>
      <c r="BM145" s="93">
        <v>8.5000000000000006E-3</v>
      </c>
      <c r="BN145" s="94">
        <v>9.0000000000000011E-3</v>
      </c>
      <c r="BO145" s="94">
        <v>0.01</v>
      </c>
      <c r="BP145" s="94">
        <v>0.01</v>
      </c>
      <c r="BQ145" s="94">
        <v>1.0999999999999999E-2</v>
      </c>
      <c r="BR145" s="94">
        <v>1.2700000000000001E-2</v>
      </c>
      <c r="BS145" s="94">
        <v>1.4E-2</v>
      </c>
      <c r="BT145" s="95">
        <v>1.4500000000000001E-2</v>
      </c>
      <c r="BU145" s="124">
        <v>36</v>
      </c>
      <c r="BV145" s="120">
        <v>9.0000000000000011E-3</v>
      </c>
      <c r="BW145" s="121">
        <v>9.0000000000000011E-3</v>
      </c>
      <c r="BX145" s="121">
        <v>9.0000000000000011E-3</v>
      </c>
      <c r="BY145" s="121">
        <v>9.0000000000000011E-3</v>
      </c>
      <c r="BZ145" s="121">
        <v>9.0000000000000011E-3</v>
      </c>
      <c r="CA145" s="121">
        <v>9.0000000000000011E-3</v>
      </c>
      <c r="CB145" s="121">
        <v>9.0000000000000011E-3</v>
      </c>
      <c r="CC145" s="122">
        <v>9.0000000000000011E-3</v>
      </c>
    </row>
    <row r="146" spans="1:81" ht="14.25">
      <c r="A146" s="413"/>
      <c r="B146" s="413"/>
      <c r="C146" s="414"/>
      <c r="D146" s="413"/>
      <c r="E146" s="414"/>
      <c r="F146" s="413"/>
      <c r="G146" s="414"/>
      <c r="H146" s="414"/>
      <c r="I146" s="415"/>
      <c r="J146" s="413"/>
      <c r="K146" s="415"/>
      <c r="L146" s="416"/>
      <c r="M146" s="414"/>
      <c r="R146" s="394">
        <f t="shared" si="39"/>
        <v>56.000000000000682</v>
      </c>
      <c r="AI146" s="98">
        <v>55</v>
      </c>
      <c r="AJ146" s="93">
        <v>0.8</v>
      </c>
      <c r="AK146" s="94">
        <v>0.8</v>
      </c>
      <c r="AL146" s="94">
        <v>0.8</v>
      </c>
      <c r="AM146" s="94">
        <v>0.8</v>
      </c>
      <c r="AN146" s="94">
        <v>0.8</v>
      </c>
      <c r="AO146" s="94">
        <v>0.8</v>
      </c>
      <c r="AP146" s="94">
        <v>0.82</v>
      </c>
      <c r="AQ146" s="95">
        <v>0.82</v>
      </c>
      <c r="AT146" s="98">
        <v>37</v>
      </c>
      <c r="AU146" s="114">
        <v>0.49099999999999999</v>
      </c>
      <c r="AV146" s="112">
        <v>0.49099999999999999</v>
      </c>
      <c r="AW146" s="112">
        <v>0.46100000000000002</v>
      </c>
      <c r="AX146" s="112">
        <v>0.374</v>
      </c>
      <c r="AY146" s="112">
        <v>0.374</v>
      </c>
      <c r="AZ146" s="112">
        <v>0.374</v>
      </c>
      <c r="BA146" s="112">
        <v>0.42</v>
      </c>
      <c r="BB146" s="115">
        <v>0.42</v>
      </c>
      <c r="BC146" s="98">
        <v>37</v>
      </c>
      <c r="BD146" s="93">
        <v>0.95900000000000007</v>
      </c>
      <c r="BE146" s="94">
        <v>0.90900000000000003</v>
      </c>
      <c r="BF146" s="94">
        <v>0.75</v>
      </c>
      <c r="BG146" s="94">
        <v>0.7</v>
      </c>
      <c r="BH146" s="94">
        <v>0.6</v>
      </c>
      <c r="BI146" s="94">
        <v>0.7</v>
      </c>
      <c r="BJ146" s="94">
        <v>0.75</v>
      </c>
      <c r="BK146" s="95">
        <v>0.75</v>
      </c>
      <c r="BL146" s="123">
        <v>37</v>
      </c>
      <c r="BM146" s="93">
        <v>8.5000000000000006E-3</v>
      </c>
      <c r="BN146" s="94">
        <v>9.0000000000000011E-3</v>
      </c>
      <c r="BO146" s="94">
        <v>0.01</v>
      </c>
      <c r="BP146" s="94">
        <v>0.01</v>
      </c>
      <c r="BQ146" s="94">
        <v>1.0999999999999999E-2</v>
      </c>
      <c r="BR146" s="94">
        <v>1.2700000000000001E-2</v>
      </c>
      <c r="BS146" s="94">
        <v>1.4E-2</v>
      </c>
      <c r="BT146" s="95">
        <v>1.4500000000000001E-2</v>
      </c>
      <c r="BU146" s="124">
        <v>37</v>
      </c>
      <c r="BV146" s="120">
        <v>9.0000000000000011E-3</v>
      </c>
      <c r="BW146" s="121">
        <v>9.0000000000000011E-3</v>
      </c>
      <c r="BX146" s="121">
        <v>9.0000000000000011E-3</v>
      </c>
      <c r="BY146" s="121">
        <v>9.0000000000000011E-3</v>
      </c>
      <c r="BZ146" s="121">
        <v>9.0000000000000011E-3</v>
      </c>
      <c r="CA146" s="121">
        <v>9.0000000000000011E-3</v>
      </c>
      <c r="CB146" s="121">
        <v>9.0000000000000011E-3</v>
      </c>
      <c r="CC146" s="122">
        <v>9.0000000000000011E-3</v>
      </c>
    </row>
    <row r="147" spans="1:81" ht="14.25">
      <c r="A147" s="413"/>
      <c r="B147" s="413"/>
      <c r="C147" s="414"/>
      <c r="D147" s="413"/>
      <c r="E147" s="414"/>
      <c r="F147" s="413"/>
      <c r="G147" s="414"/>
      <c r="H147" s="414"/>
      <c r="I147" s="415"/>
      <c r="J147" s="413"/>
      <c r="K147" s="415"/>
      <c r="L147" s="416"/>
      <c r="M147" s="414"/>
      <c r="R147" s="394">
        <f t="shared" si="39"/>
        <v>56.388888888889568</v>
      </c>
      <c r="AI147" s="98">
        <v>56</v>
      </c>
      <c r="AJ147" s="93">
        <v>0.8</v>
      </c>
      <c r="AK147" s="94">
        <v>0.8</v>
      </c>
      <c r="AL147" s="94">
        <v>0.8</v>
      </c>
      <c r="AM147" s="94">
        <v>0.8</v>
      </c>
      <c r="AN147" s="94">
        <v>0.8</v>
      </c>
      <c r="AO147" s="94">
        <v>0.8</v>
      </c>
      <c r="AP147" s="94">
        <v>0.82</v>
      </c>
      <c r="AQ147" s="95">
        <v>0.82</v>
      </c>
      <c r="AT147" s="98">
        <v>38</v>
      </c>
      <c r="AU147" s="114">
        <v>0.49399999999999999</v>
      </c>
      <c r="AV147" s="112">
        <v>0.49399999999999999</v>
      </c>
      <c r="AW147" s="112">
        <v>0.46400000000000002</v>
      </c>
      <c r="AX147" s="112">
        <v>0.376</v>
      </c>
      <c r="AY147" s="112">
        <v>0.376</v>
      </c>
      <c r="AZ147" s="112">
        <v>0.376</v>
      </c>
      <c r="BA147" s="112">
        <v>0.42</v>
      </c>
      <c r="BB147" s="115">
        <v>0.42</v>
      </c>
      <c r="BC147" s="98">
        <v>38</v>
      </c>
      <c r="BD147" s="93">
        <v>0.96599999999999997</v>
      </c>
      <c r="BE147" s="94">
        <v>0.91600000000000004</v>
      </c>
      <c r="BF147" s="94">
        <v>0.75</v>
      </c>
      <c r="BG147" s="94">
        <v>0.7</v>
      </c>
      <c r="BH147" s="94">
        <v>0.6</v>
      </c>
      <c r="BI147" s="94">
        <v>0.7</v>
      </c>
      <c r="BJ147" s="94">
        <v>0.75</v>
      </c>
      <c r="BK147" s="95">
        <v>0.75</v>
      </c>
      <c r="BL147" s="123">
        <v>38</v>
      </c>
      <c r="BM147" s="93">
        <v>8.5000000000000006E-3</v>
      </c>
      <c r="BN147" s="94">
        <v>9.0000000000000011E-3</v>
      </c>
      <c r="BO147" s="94">
        <v>0.01</v>
      </c>
      <c r="BP147" s="94">
        <v>0.01</v>
      </c>
      <c r="BQ147" s="94">
        <v>1.0999999999999999E-2</v>
      </c>
      <c r="BR147" s="94">
        <v>1.2700000000000001E-2</v>
      </c>
      <c r="BS147" s="94">
        <v>1.4E-2</v>
      </c>
      <c r="BT147" s="95">
        <v>1.4500000000000001E-2</v>
      </c>
      <c r="BU147" s="124">
        <v>38</v>
      </c>
      <c r="BV147" s="120">
        <v>9.0000000000000011E-3</v>
      </c>
      <c r="BW147" s="121">
        <v>9.0000000000000011E-3</v>
      </c>
      <c r="BX147" s="121">
        <v>9.0000000000000011E-3</v>
      </c>
      <c r="BY147" s="121">
        <v>9.0000000000000011E-3</v>
      </c>
      <c r="BZ147" s="121">
        <v>9.0000000000000011E-3</v>
      </c>
      <c r="CA147" s="121">
        <v>9.0000000000000011E-3</v>
      </c>
      <c r="CB147" s="121">
        <v>9.0000000000000011E-3</v>
      </c>
      <c r="CC147" s="122">
        <v>9.0000000000000011E-3</v>
      </c>
    </row>
    <row r="148" spans="1:81" ht="14.25">
      <c r="A148" s="413"/>
      <c r="B148" s="413"/>
      <c r="C148" s="414"/>
      <c r="D148" s="413"/>
      <c r="E148" s="414"/>
      <c r="F148" s="413"/>
      <c r="G148" s="414"/>
      <c r="H148" s="414"/>
      <c r="I148" s="415"/>
      <c r="J148" s="413"/>
      <c r="K148" s="415"/>
      <c r="L148" s="416"/>
      <c r="M148" s="414"/>
      <c r="R148" s="394">
        <f t="shared" si="39"/>
        <v>56.777777777778454</v>
      </c>
      <c r="AI148" s="98">
        <v>57</v>
      </c>
      <c r="AJ148" s="93">
        <v>0.8</v>
      </c>
      <c r="AK148" s="94">
        <v>0.8</v>
      </c>
      <c r="AL148" s="94">
        <v>0.8</v>
      </c>
      <c r="AM148" s="94">
        <v>0.8</v>
      </c>
      <c r="AN148" s="94">
        <v>0.8</v>
      </c>
      <c r="AO148" s="94">
        <v>0.8</v>
      </c>
      <c r="AP148" s="94">
        <v>0.82</v>
      </c>
      <c r="AQ148" s="95">
        <v>0.82</v>
      </c>
      <c r="AT148" s="98">
        <v>39</v>
      </c>
      <c r="AU148" s="114">
        <v>0.497</v>
      </c>
      <c r="AV148" s="112">
        <v>0.497</v>
      </c>
      <c r="AW148" s="112">
        <v>0.46700000000000003</v>
      </c>
      <c r="AX148" s="112">
        <v>0.378</v>
      </c>
      <c r="AY148" s="112">
        <v>0.378</v>
      </c>
      <c r="AZ148" s="112">
        <v>0.378</v>
      </c>
      <c r="BA148" s="112">
        <v>0.42</v>
      </c>
      <c r="BB148" s="115">
        <v>0.42</v>
      </c>
      <c r="BC148" s="98">
        <v>39</v>
      </c>
      <c r="BD148" s="93">
        <v>0.97299999999999998</v>
      </c>
      <c r="BE148" s="94">
        <v>0.92300000000000004</v>
      </c>
      <c r="BF148" s="94">
        <v>0.75</v>
      </c>
      <c r="BG148" s="94">
        <v>0.7</v>
      </c>
      <c r="BH148" s="94">
        <v>0.6</v>
      </c>
      <c r="BI148" s="94">
        <v>0.7</v>
      </c>
      <c r="BJ148" s="94">
        <v>0.75</v>
      </c>
      <c r="BK148" s="95">
        <v>0.75</v>
      </c>
      <c r="BL148" s="123">
        <v>39</v>
      </c>
      <c r="BM148" s="93">
        <v>8.5000000000000006E-3</v>
      </c>
      <c r="BN148" s="94">
        <v>9.0000000000000011E-3</v>
      </c>
      <c r="BO148" s="94">
        <v>0.01</v>
      </c>
      <c r="BP148" s="94">
        <v>0.01</v>
      </c>
      <c r="BQ148" s="94">
        <v>1.0999999999999999E-2</v>
      </c>
      <c r="BR148" s="94">
        <v>1.2700000000000001E-2</v>
      </c>
      <c r="BS148" s="94">
        <v>1.4E-2</v>
      </c>
      <c r="BT148" s="95">
        <v>1.4500000000000001E-2</v>
      </c>
      <c r="BU148" s="124">
        <v>39</v>
      </c>
      <c r="BV148" s="120">
        <v>9.0000000000000011E-3</v>
      </c>
      <c r="BW148" s="121">
        <v>9.0000000000000011E-3</v>
      </c>
      <c r="BX148" s="121">
        <v>9.0000000000000011E-3</v>
      </c>
      <c r="BY148" s="121">
        <v>9.0000000000000011E-3</v>
      </c>
      <c r="BZ148" s="121">
        <v>9.0000000000000011E-3</v>
      </c>
      <c r="CA148" s="121">
        <v>9.0000000000000011E-3</v>
      </c>
      <c r="CB148" s="121">
        <v>9.0000000000000011E-3</v>
      </c>
      <c r="CC148" s="122">
        <v>9.0000000000000011E-3</v>
      </c>
    </row>
    <row r="149" spans="1:81" ht="14.25">
      <c r="A149" s="413"/>
      <c r="B149" s="413"/>
      <c r="C149" s="414"/>
      <c r="D149" s="413"/>
      <c r="E149" s="414"/>
      <c r="F149" s="413"/>
      <c r="G149" s="414"/>
      <c r="H149" s="414"/>
      <c r="I149" s="415"/>
      <c r="J149" s="413"/>
      <c r="K149" s="415"/>
      <c r="L149" s="416"/>
      <c r="M149" s="414"/>
      <c r="R149" s="394">
        <f t="shared" si="39"/>
        <v>57.166666666667339</v>
      </c>
      <c r="AI149" s="98">
        <v>58</v>
      </c>
      <c r="AJ149" s="93">
        <v>0.8</v>
      </c>
      <c r="AK149" s="94">
        <v>0.8</v>
      </c>
      <c r="AL149" s="94">
        <v>0.8</v>
      </c>
      <c r="AM149" s="94">
        <v>0.8</v>
      </c>
      <c r="AN149" s="94">
        <v>0.8</v>
      </c>
      <c r="AO149" s="94">
        <v>0.8</v>
      </c>
      <c r="AP149" s="94">
        <v>0.82</v>
      </c>
      <c r="AQ149" s="95">
        <v>0.82</v>
      </c>
      <c r="AT149" s="98">
        <v>40</v>
      </c>
      <c r="AU149" s="114">
        <v>0.5</v>
      </c>
      <c r="AV149" s="112">
        <v>0.5</v>
      </c>
      <c r="AW149" s="112">
        <v>0.47</v>
      </c>
      <c r="AX149" s="112">
        <v>0.38</v>
      </c>
      <c r="AY149" s="112">
        <v>0.38</v>
      </c>
      <c r="AZ149" s="112">
        <v>0.38</v>
      </c>
      <c r="BA149" s="112">
        <v>0.42</v>
      </c>
      <c r="BB149" s="115">
        <v>0.42</v>
      </c>
      <c r="BC149" s="98">
        <v>40</v>
      </c>
      <c r="BD149" s="93">
        <v>0.98</v>
      </c>
      <c r="BE149" s="94">
        <v>0.93</v>
      </c>
      <c r="BF149" s="94">
        <v>0.75</v>
      </c>
      <c r="BG149" s="94">
        <v>0.7</v>
      </c>
      <c r="BH149" s="94">
        <v>0.6</v>
      </c>
      <c r="BI149" s="94">
        <v>0.7</v>
      </c>
      <c r="BJ149" s="94">
        <v>0.75</v>
      </c>
      <c r="BK149" s="95">
        <v>0.75</v>
      </c>
      <c r="BL149" s="123">
        <v>40</v>
      </c>
      <c r="BM149" s="93">
        <v>8.5000000000000006E-3</v>
      </c>
      <c r="BN149" s="94">
        <v>9.0000000000000011E-3</v>
      </c>
      <c r="BO149" s="94">
        <v>0.01</v>
      </c>
      <c r="BP149" s="94">
        <v>0.01</v>
      </c>
      <c r="BQ149" s="94">
        <v>1.0999999999999999E-2</v>
      </c>
      <c r="BR149" s="94">
        <v>1.2700000000000001E-2</v>
      </c>
      <c r="BS149" s="94">
        <v>1.4E-2</v>
      </c>
      <c r="BT149" s="95">
        <v>1.4500000000000001E-2</v>
      </c>
      <c r="BU149" s="124">
        <v>40</v>
      </c>
      <c r="BV149" s="120">
        <v>9.0000000000000011E-3</v>
      </c>
      <c r="BW149" s="121">
        <v>9.0000000000000011E-3</v>
      </c>
      <c r="BX149" s="121">
        <v>9.0000000000000011E-3</v>
      </c>
      <c r="BY149" s="121">
        <v>9.0000000000000011E-3</v>
      </c>
      <c r="BZ149" s="121">
        <v>9.0000000000000011E-3</v>
      </c>
      <c r="CA149" s="121">
        <v>9.0000000000000011E-3</v>
      </c>
      <c r="CB149" s="121">
        <v>9.0000000000000011E-3</v>
      </c>
      <c r="CC149" s="122">
        <v>9.0000000000000011E-3</v>
      </c>
    </row>
    <row r="150" spans="1:81" ht="14.25">
      <c r="A150" s="413"/>
      <c r="B150" s="413"/>
      <c r="C150" s="414"/>
      <c r="D150" s="413"/>
      <c r="E150" s="414"/>
      <c r="F150" s="413"/>
      <c r="G150" s="414"/>
      <c r="H150" s="414"/>
      <c r="I150" s="415"/>
      <c r="J150" s="413"/>
      <c r="K150" s="415"/>
      <c r="L150" s="416"/>
      <c r="M150" s="414"/>
      <c r="R150" s="394">
        <f t="shared" si="39"/>
        <v>57.555555555556225</v>
      </c>
      <c r="AI150" s="98">
        <v>59</v>
      </c>
      <c r="AJ150" s="93">
        <v>0.8</v>
      </c>
      <c r="AK150" s="94">
        <v>0.8</v>
      </c>
      <c r="AL150" s="94">
        <v>0.8</v>
      </c>
      <c r="AM150" s="94">
        <v>0.8</v>
      </c>
      <c r="AN150" s="94">
        <v>0.8</v>
      </c>
      <c r="AO150" s="94">
        <v>0.8</v>
      </c>
      <c r="AP150" s="94">
        <v>0.82</v>
      </c>
      <c r="AQ150" s="95">
        <v>0.82</v>
      </c>
      <c r="AT150" s="98">
        <v>41</v>
      </c>
      <c r="AU150" s="114">
        <v>0.503</v>
      </c>
      <c r="AV150" s="112">
        <v>0.503</v>
      </c>
      <c r="AW150" s="112">
        <v>0.47300000000000003</v>
      </c>
      <c r="AX150" s="112">
        <v>0.38200000000000001</v>
      </c>
      <c r="AY150" s="112">
        <v>0.38200000000000001</v>
      </c>
      <c r="AZ150" s="112">
        <v>0.38200000000000001</v>
      </c>
      <c r="BA150" s="112">
        <v>0.42</v>
      </c>
      <c r="BB150" s="115">
        <v>0.42</v>
      </c>
      <c r="BC150" s="98">
        <v>41</v>
      </c>
      <c r="BD150" s="93">
        <v>0.98699999999999999</v>
      </c>
      <c r="BE150" s="94">
        <v>0.93700000000000006</v>
      </c>
      <c r="BF150" s="94">
        <v>0.75</v>
      </c>
      <c r="BG150" s="94">
        <v>0.7</v>
      </c>
      <c r="BH150" s="94">
        <v>0.6</v>
      </c>
      <c r="BI150" s="94">
        <v>0.7</v>
      </c>
      <c r="BJ150" s="94">
        <v>0.75</v>
      </c>
      <c r="BK150" s="95">
        <v>0.75</v>
      </c>
      <c r="BL150" s="123">
        <v>41</v>
      </c>
      <c r="BM150" s="93">
        <v>8.5000000000000006E-3</v>
      </c>
      <c r="BN150" s="94">
        <v>9.0000000000000011E-3</v>
      </c>
      <c r="BO150" s="94">
        <v>0.01</v>
      </c>
      <c r="BP150" s="94">
        <v>0.01</v>
      </c>
      <c r="BQ150" s="94">
        <v>1.0999999999999999E-2</v>
      </c>
      <c r="BR150" s="94">
        <v>1.2700000000000001E-2</v>
      </c>
      <c r="BS150" s="94">
        <v>1.4E-2</v>
      </c>
      <c r="BT150" s="95">
        <v>1.4500000000000001E-2</v>
      </c>
      <c r="BU150" s="124">
        <v>41</v>
      </c>
      <c r="BV150" s="120">
        <v>9.0000000000000011E-3</v>
      </c>
      <c r="BW150" s="121">
        <v>9.0000000000000011E-3</v>
      </c>
      <c r="BX150" s="121">
        <v>9.0000000000000011E-3</v>
      </c>
      <c r="BY150" s="121">
        <v>9.0000000000000011E-3</v>
      </c>
      <c r="BZ150" s="121">
        <v>9.0000000000000011E-3</v>
      </c>
      <c r="CA150" s="121">
        <v>9.0000000000000011E-3</v>
      </c>
      <c r="CB150" s="121">
        <v>9.0000000000000011E-3</v>
      </c>
      <c r="CC150" s="122">
        <v>9.0000000000000011E-3</v>
      </c>
    </row>
    <row r="151" spans="1:81" ht="14.25">
      <c r="A151" s="413"/>
      <c r="B151" s="413"/>
      <c r="C151" s="414"/>
      <c r="D151" s="413"/>
      <c r="E151" s="414"/>
      <c r="F151" s="413"/>
      <c r="G151" s="414"/>
      <c r="H151" s="414"/>
      <c r="I151" s="415"/>
      <c r="J151" s="413"/>
      <c r="K151" s="415"/>
      <c r="L151" s="416"/>
      <c r="M151" s="414"/>
      <c r="R151" s="394">
        <f t="shared" si="39"/>
        <v>57.944444444445111</v>
      </c>
      <c r="AI151" s="98">
        <v>60</v>
      </c>
      <c r="AJ151" s="93">
        <v>0.8</v>
      </c>
      <c r="AK151" s="94">
        <v>0.8</v>
      </c>
      <c r="AL151" s="94">
        <v>0.8</v>
      </c>
      <c r="AM151" s="94">
        <v>0.8</v>
      </c>
      <c r="AN151" s="94">
        <v>0.8</v>
      </c>
      <c r="AO151" s="94">
        <v>0.8</v>
      </c>
      <c r="AP151" s="94">
        <v>0.82</v>
      </c>
      <c r="AQ151" s="95">
        <v>0.82</v>
      </c>
      <c r="AT151" s="98">
        <v>42</v>
      </c>
      <c r="AU151" s="114">
        <v>0.50600000000000001</v>
      </c>
      <c r="AV151" s="112">
        <v>0.50600000000000001</v>
      </c>
      <c r="AW151" s="112">
        <v>0.47600000000000003</v>
      </c>
      <c r="AX151" s="112">
        <v>0.38400000000000001</v>
      </c>
      <c r="AY151" s="112">
        <v>0.38400000000000001</v>
      </c>
      <c r="AZ151" s="112">
        <v>0.38400000000000001</v>
      </c>
      <c r="BA151" s="112">
        <v>0.42</v>
      </c>
      <c r="BB151" s="115">
        <v>0.42</v>
      </c>
      <c r="BC151" s="98">
        <v>42</v>
      </c>
      <c r="BD151" s="93">
        <v>0.99399999999999999</v>
      </c>
      <c r="BE151" s="94">
        <v>0.94400000000000006</v>
      </c>
      <c r="BF151" s="94">
        <v>0.75</v>
      </c>
      <c r="BG151" s="94">
        <v>0.7</v>
      </c>
      <c r="BH151" s="94">
        <v>0.6</v>
      </c>
      <c r="BI151" s="94">
        <v>0.7</v>
      </c>
      <c r="BJ151" s="94">
        <v>0.75</v>
      </c>
      <c r="BK151" s="95">
        <v>0.75</v>
      </c>
      <c r="BL151" s="123">
        <v>42</v>
      </c>
      <c r="BM151" s="93">
        <v>8.5000000000000006E-3</v>
      </c>
      <c r="BN151" s="94">
        <v>9.0000000000000011E-3</v>
      </c>
      <c r="BO151" s="94">
        <v>0.01</v>
      </c>
      <c r="BP151" s="94">
        <v>0.01</v>
      </c>
      <c r="BQ151" s="94">
        <v>1.0999999999999999E-2</v>
      </c>
      <c r="BR151" s="94">
        <v>1.2700000000000001E-2</v>
      </c>
      <c r="BS151" s="94">
        <v>1.4E-2</v>
      </c>
      <c r="BT151" s="95">
        <v>1.4500000000000001E-2</v>
      </c>
      <c r="BU151" s="124">
        <v>42</v>
      </c>
      <c r="BV151" s="120">
        <v>9.0000000000000011E-3</v>
      </c>
      <c r="BW151" s="121">
        <v>9.0000000000000011E-3</v>
      </c>
      <c r="BX151" s="121">
        <v>9.0000000000000011E-3</v>
      </c>
      <c r="BY151" s="121">
        <v>9.0000000000000011E-3</v>
      </c>
      <c r="BZ151" s="121">
        <v>9.0000000000000011E-3</v>
      </c>
      <c r="CA151" s="121">
        <v>9.0000000000000011E-3</v>
      </c>
      <c r="CB151" s="121">
        <v>9.0000000000000011E-3</v>
      </c>
      <c r="CC151" s="122">
        <v>9.0000000000000011E-3</v>
      </c>
    </row>
    <row r="152" spans="1:81" ht="14.25">
      <c r="A152" s="413"/>
      <c r="B152" s="413"/>
      <c r="C152" s="414"/>
      <c r="D152" s="413"/>
      <c r="E152" s="414"/>
      <c r="F152" s="413"/>
      <c r="G152" s="414"/>
      <c r="H152" s="414"/>
      <c r="I152" s="415"/>
      <c r="J152" s="413"/>
      <c r="K152" s="415"/>
      <c r="L152" s="416"/>
      <c r="M152" s="414"/>
      <c r="R152" s="394">
        <f t="shared" si="39"/>
        <v>58.333333333333997</v>
      </c>
      <c r="AI152" s="98">
        <v>61</v>
      </c>
      <c r="AJ152" s="93">
        <v>0.8</v>
      </c>
      <c r="AK152" s="94">
        <v>0.8</v>
      </c>
      <c r="AL152" s="94">
        <v>0.8</v>
      </c>
      <c r="AM152" s="94">
        <v>0.8</v>
      </c>
      <c r="AN152" s="94">
        <v>0.8</v>
      </c>
      <c r="AO152" s="94">
        <v>0.8</v>
      </c>
      <c r="AP152" s="94">
        <v>0.82</v>
      </c>
      <c r="AQ152" s="95">
        <v>0.82</v>
      </c>
      <c r="AT152" s="98">
        <v>43</v>
      </c>
      <c r="AU152" s="114">
        <v>0.50900000000000001</v>
      </c>
      <c r="AV152" s="112">
        <v>0.50900000000000001</v>
      </c>
      <c r="AW152" s="112">
        <v>0.47900000000000004</v>
      </c>
      <c r="AX152" s="112">
        <v>0.38600000000000001</v>
      </c>
      <c r="AY152" s="112">
        <v>0.38600000000000001</v>
      </c>
      <c r="AZ152" s="112">
        <v>0.38600000000000001</v>
      </c>
      <c r="BA152" s="112">
        <v>0.42</v>
      </c>
      <c r="BB152" s="115">
        <v>0.42</v>
      </c>
      <c r="BC152" s="98">
        <v>43</v>
      </c>
      <c r="BD152" s="93">
        <v>1.0009999999999999</v>
      </c>
      <c r="BE152" s="94">
        <v>0.95100000000000007</v>
      </c>
      <c r="BF152" s="94">
        <v>0.75</v>
      </c>
      <c r="BG152" s="94">
        <v>0.7</v>
      </c>
      <c r="BH152" s="94">
        <v>0.6</v>
      </c>
      <c r="BI152" s="94">
        <v>0.7</v>
      </c>
      <c r="BJ152" s="94">
        <v>0.75</v>
      </c>
      <c r="BK152" s="95">
        <v>0.75</v>
      </c>
      <c r="BL152" s="123">
        <v>43</v>
      </c>
      <c r="BM152" s="93">
        <v>8.5000000000000006E-3</v>
      </c>
      <c r="BN152" s="94">
        <v>9.0000000000000011E-3</v>
      </c>
      <c r="BO152" s="94">
        <v>0.01</v>
      </c>
      <c r="BP152" s="94">
        <v>0.01</v>
      </c>
      <c r="BQ152" s="94">
        <v>1.0999999999999999E-2</v>
      </c>
      <c r="BR152" s="94">
        <v>1.2700000000000001E-2</v>
      </c>
      <c r="BS152" s="94">
        <v>1.4E-2</v>
      </c>
      <c r="BT152" s="95">
        <v>1.4500000000000001E-2</v>
      </c>
      <c r="BU152" s="124">
        <v>43</v>
      </c>
      <c r="BV152" s="120">
        <v>9.0000000000000011E-3</v>
      </c>
      <c r="BW152" s="121">
        <v>9.0000000000000011E-3</v>
      </c>
      <c r="BX152" s="121">
        <v>9.0000000000000011E-3</v>
      </c>
      <c r="BY152" s="121">
        <v>9.0000000000000011E-3</v>
      </c>
      <c r="BZ152" s="121">
        <v>9.0000000000000011E-3</v>
      </c>
      <c r="CA152" s="121">
        <v>9.0000000000000011E-3</v>
      </c>
      <c r="CB152" s="121">
        <v>9.0000000000000011E-3</v>
      </c>
      <c r="CC152" s="122">
        <v>9.0000000000000011E-3</v>
      </c>
    </row>
    <row r="153" spans="1:81" ht="14.25">
      <c r="A153" s="413"/>
      <c r="B153" s="413"/>
      <c r="C153" s="414"/>
      <c r="D153" s="413"/>
      <c r="E153" s="414"/>
      <c r="F153" s="413"/>
      <c r="G153" s="414"/>
      <c r="H153" s="414"/>
      <c r="I153" s="415"/>
      <c r="J153" s="413"/>
      <c r="K153" s="415"/>
      <c r="L153" s="416"/>
      <c r="M153" s="414"/>
      <c r="R153" s="394">
        <f t="shared" si="39"/>
        <v>58.722222222222882</v>
      </c>
      <c r="AI153" s="98">
        <v>62</v>
      </c>
      <c r="AJ153" s="93">
        <v>0.8</v>
      </c>
      <c r="AK153" s="94">
        <v>0.8</v>
      </c>
      <c r="AL153" s="94">
        <v>0.8</v>
      </c>
      <c r="AM153" s="94">
        <v>0.8</v>
      </c>
      <c r="AN153" s="94">
        <v>0.8</v>
      </c>
      <c r="AO153" s="94">
        <v>0.8</v>
      </c>
      <c r="AP153" s="94">
        <v>0.82</v>
      </c>
      <c r="AQ153" s="95">
        <v>0.82</v>
      </c>
      <c r="AT153" s="98">
        <v>44</v>
      </c>
      <c r="AU153" s="114">
        <v>0.51200000000000001</v>
      </c>
      <c r="AV153" s="112">
        <v>0.51200000000000001</v>
      </c>
      <c r="AW153" s="112">
        <v>0.48199999999999998</v>
      </c>
      <c r="AX153" s="112">
        <v>0.38800000000000001</v>
      </c>
      <c r="AY153" s="112">
        <v>0.38800000000000001</v>
      </c>
      <c r="AZ153" s="112">
        <v>0.38800000000000001</v>
      </c>
      <c r="BA153" s="112">
        <v>0.42</v>
      </c>
      <c r="BB153" s="115">
        <v>0.42</v>
      </c>
      <c r="BC153" s="98">
        <v>44</v>
      </c>
      <c r="BD153" s="93">
        <v>1.008</v>
      </c>
      <c r="BE153" s="94">
        <v>0.95800000000000007</v>
      </c>
      <c r="BF153" s="94">
        <v>0.75</v>
      </c>
      <c r="BG153" s="94">
        <v>0.7</v>
      </c>
      <c r="BH153" s="94">
        <v>0.6</v>
      </c>
      <c r="BI153" s="94">
        <v>0.7</v>
      </c>
      <c r="BJ153" s="94">
        <v>0.75</v>
      </c>
      <c r="BK153" s="95">
        <v>0.75</v>
      </c>
      <c r="BL153" s="123">
        <v>44</v>
      </c>
      <c r="BM153" s="93">
        <v>8.5000000000000006E-3</v>
      </c>
      <c r="BN153" s="94">
        <v>9.0000000000000011E-3</v>
      </c>
      <c r="BO153" s="94">
        <v>0.01</v>
      </c>
      <c r="BP153" s="94">
        <v>0.01</v>
      </c>
      <c r="BQ153" s="94">
        <v>1.0999999999999999E-2</v>
      </c>
      <c r="BR153" s="94">
        <v>1.2700000000000001E-2</v>
      </c>
      <c r="BS153" s="94">
        <v>1.4E-2</v>
      </c>
      <c r="BT153" s="95">
        <v>1.4500000000000001E-2</v>
      </c>
      <c r="BU153" s="124">
        <v>44</v>
      </c>
      <c r="BV153" s="120">
        <v>9.0000000000000011E-3</v>
      </c>
      <c r="BW153" s="121">
        <v>9.0000000000000011E-3</v>
      </c>
      <c r="BX153" s="121">
        <v>9.0000000000000011E-3</v>
      </c>
      <c r="BY153" s="121">
        <v>9.0000000000000011E-3</v>
      </c>
      <c r="BZ153" s="121">
        <v>9.0000000000000011E-3</v>
      </c>
      <c r="CA153" s="121">
        <v>9.0000000000000011E-3</v>
      </c>
      <c r="CB153" s="121">
        <v>9.0000000000000011E-3</v>
      </c>
      <c r="CC153" s="122">
        <v>9.0000000000000011E-3</v>
      </c>
    </row>
    <row r="154" spans="1:81" ht="14.25">
      <c r="A154" s="413"/>
      <c r="B154" s="413"/>
      <c r="C154" s="414"/>
      <c r="D154" s="413"/>
      <c r="E154" s="414"/>
      <c r="F154" s="413"/>
      <c r="G154" s="414"/>
      <c r="H154" s="414"/>
      <c r="I154" s="415"/>
      <c r="J154" s="413"/>
      <c r="K154" s="415"/>
      <c r="L154" s="416"/>
      <c r="M154" s="414"/>
      <c r="R154" s="394">
        <f t="shared" si="39"/>
        <v>59.111111111111768</v>
      </c>
      <c r="AI154" s="98">
        <v>63</v>
      </c>
      <c r="AJ154" s="93">
        <v>0.8</v>
      </c>
      <c r="AK154" s="94">
        <v>0.8</v>
      </c>
      <c r="AL154" s="94">
        <v>0.8</v>
      </c>
      <c r="AM154" s="94">
        <v>0.8</v>
      </c>
      <c r="AN154" s="94">
        <v>0.8</v>
      </c>
      <c r="AO154" s="94">
        <v>0.8</v>
      </c>
      <c r="AP154" s="94">
        <v>0.82</v>
      </c>
      <c r="AQ154" s="95">
        <v>0.82</v>
      </c>
      <c r="AT154" s="98">
        <v>45</v>
      </c>
      <c r="AU154" s="114">
        <v>0.51500000000000001</v>
      </c>
      <c r="AV154" s="112">
        <v>0.51500000000000001</v>
      </c>
      <c r="AW154" s="112">
        <v>0.48499999999999999</v>
      </c>
      <c r="AX154" s="112">
        <v>0.39</v>
      </c>
      <c r="AY154" s="112">
        <v>0.39</v>
      </c>
      <c r="AZ154" s="112">
        <v>0.39</v>
      </c>
      <c r="BA154" s="112">
        <v>0.42</v>
      </c>
      <c r="BB154" s="115">
        <v>0.42</v>
      </c>
      <c r="BC154" s="98">
        <v>45</v>
      </c>
      <c r="BD154" s="93">
        <v>1.0149999999999999</v>
      </c>
      <c r="BE154" s="94">
        <v>0.96499999999999997</v>
      </c>
      <c r="BF154" s="94">
        <v>0.75</v>
      </c>
      <c r="BG154" s="94">
        <v>0.7</v>
      </c>
      <c r="BH154" s="94">
        <v>0.6</v>
      </c>
      <c r="BI154" s="94">
        <v>0.7</v>
      </c>
      <c r="BJ154" s="94">
        <v>0.75</v>
      </c>
      <c r="BK154" s="95">
        <v>0.75</v>
      </c>
      <c r="BL154" s="123">
        <v>45</v>
      </c>
      <c r="BM154" s="93">
        <v>8.5000000000000006E-3</v>
      </c>
      <c r="BN154" s="94">
        <v>9.0000000000000011E-3</v>
      </c>
      <c r="BO154" s="94">
        <v>0.01</v>
      </c>
      <c r="BP154" s="94">
        <v>0.01</v>
      </c>
      <c r="BQ154" s="94">
        <v>1.0999999999999999E-2</v>
      </c>
      <c r="BR154" s="94">
        <v>1.2700000000000001E-2</v>
      </c>
      <c r="BS154" s="94">
        <v>1.4E-2</v>
      </c>
      <c r="BT154" s="95">
        <v>1.4500000000000001E-2</v>
      </c>
      <c r="BU154" s="124">
        <v>45</v>
      </c>
      <c r="BV154" s="120">
        <v>9.0000000000000011E-3</v>
      </c>
      <c r="BW154" s="121">
        <v>9.0000000000000011E-3</v>
      </c>
      <c r="BX154" s="121">
        <v>9.0000000000000011E-3</v>
      </c>
      <c r="BY154" s="121">
        <v>9.0000000000000011E-3</v>
      </c>
      <c r="BZ154" s="121">
        <v>9.0000000000000011E-3</v>
      </c>
      <c r="CA154" s="121">
        <v>9.0000000000000011E-3</v>
      </c>
      <c r="CB154" s="121">
        <v>9.0000000000000011E-3</v>
      </c>
      <c r="CC154" s="122">
        <v>9.0000000000000011E-3</v>
      </c>
    </row>
    <row r="155" spans="1:81" ht="14.25">
      <c r="A155" s="413"/>
      <c r="B155" s="413"/>
      <c r="C155" s="414"/>
      <c r="D155" s="413"/>
      <c r="E155" s="414"/>
      <c r="F155" s="413"/>
      <c r="G155" s="414"/>
      <c r="H155" s="414"/>
      <c r="I155" s="415"/>
      <c r="J155" s="413"/>
      <c r="K155" s="415"/>
      <c r="L155" s="416"/>
      <c r="M155" s="414"/>
      <c r="R155" s="394">
        <f t="shared" si="39"/>
        <v>59.500000000000654</v>
      </c>
      <c r="AI155" s="98">
        <v>64</v>
      </c>
      <c r="AJ155" s="93">
        <v>0.8</v>
      </c>
      <c r="AK155" s="94">
        <v>0.8</v>
      </c>
      <c r="AL155" s="94">
        <v>0.8</v>
      </c>
      <c r="AM155" s="94">
        <v>0.8</v>
      </c>
      <c r="AN155" s="94">
        <v>0.8</v>
      </c>
      <c r="AO155" s="94">
        <v>0.8</v>
      </c>
      <c r="AP155" s="94">
        <v>0.82</v>
      </c>
      <c r="AQ155" s="95">
        <v>0.82</v>
      </c>
      <c r="AT155" s="98">
        <v>46</v>
      </c>
      <c r="AU155" s="114">
        <v>0.51800000000000002</v>
      </c>
      <c r="AV155" s="112">
        <v>0.51800000000000002</v>
      </c>
      <c r="AW155" s="112">
        <v>0.48799999999999999</v>
      </c>
      <c r="AX155" s="112">
        <v>0.39200000000000002</v>
      </c>
      <c r="AY155" s="112">
        <v>0.39200000000000002</v>
      </c>
      <c r="AZ155" s="112">
        <v>0.39200000000000002</v>
      </c>
      <c r="BA155" s="112">
        <v>0.42</v>
      </c>
      <c r="BB155" s="115">
        <v>0.42</v>
      </c>
      <c r="BC155" s="98">
        <v>46</v>
      </c>
      <c r="BD155" s="93">
        <v>1.022</v>
      </c>
      <c r="BE155" s="94">
        <v>0.97199999999999998</v>
      </c>
      <c r="BF155" s="94">
        <v>0.75</v>
      </c>
      <c r="BG155" s="94">
        <v>0.7</v>
      </c>
      <c r="BH155" s="94">
        <v>0.6</v>
      </c>
      <c r="BI155" s="94">
        <v>0.7</v>
      </c>
      <c r="BJ155" s="94">
        <v>0.75</v>
      </c>
      <c r="BK155" s="95">
        <v>0.75</v>
      </c>
      <c r="BL155" s="123">
        <v>46</v>
      </c>
      <c r="BM155" s="93">
        <v>8.5000000000000006E-3</v>
      </c>
      <c r="BN155" s="94">
        <v>9.0000000000000011E-3</v>
      </c>
      <c r="BO155" s="94">
        <v>0.01</v>
      </c>
      <c r="BP155" s="94">
        <v>0.01</v>
      </c>
      <c r="BQ155" s="94">
        <v>1.0999999999999999E-2</v>
      </c>
      <c r="BR155" s="94">
        <v>1.2700000000000001E-2</v>
      </c>
      <c r="BS155" s="94">
        <v>1.4E-2</v>
      </c>
      <c r="BT155" s="95">
        <v>1.4500000000000001E-2</v>
      </c>
      <c r="BU155" s="124">
        <v>46</v>
      </c>
      <c r="BV155" s="120">
        <v>9.0000000000000011E-3</v>
      </c>
      <c r="BW155" s="121">
        <v>9.0000000000000011E-3</v>
      </c>
      <c r="BX155" s="121">
        <v>9.0000000000000011E-3</v>
      </c>
      <c r="BY155" s="121">
        <v>9.0000000000000011E-3</v>
      </c>
      <c r="BZ155" s="121">
        <v>9.0000000000000011E-3</v>
      </c>
      <c r="CA155" s="121">
        <v>9.0000000000000011E-3</v>
      </c>
      <c r="CB155" s="121">
        <v>9.0000000000000011E-3</v>
      </c>
      <c r="CC155" s="122">
        <v>9.0000000000000011E-3</v>
      </c>
    </row>
    <row r="156" spans="1:81" ht="14.25">
      <c r="A156" s="413"/>
      <c r="B156" s="413"/>
      <c r="C156" s="414"/>
      <c r="D156" s="413"/>
      <c r="E156" s="414"/>
      <c r="F156" s="413"/>
      <c r="G156" s="414"/>
      <c r="H156" s="414"/>
      <c r="I156" s="415"/>
      <c r="J156" s="413"/>
      <c r="K156" s="415"/>
      <c r="L156" s="416"/>
      <c r="M156" s="414"/>
      <c r="R156" s="394">
        <f t="shared" si="39"/>
        <v>59.888888888889539</v>
      </c>
      <c r="AI156" s="98">
        <v>65</v>
      </c>
      <c r="AJ156" s="93">
        <v>0.8</v>
      </c>
      <c r="AK156" s="94">
        <v>0.8</v>
      </c>
      <c r="AL156" s="94">
        <v>0.8</v>
      </c>
      <c r="AM156" s="94">
        <v>0.8</v>
      </c>
      <c r="AN156" s="94">
        <v>0.8</v>
      </c>
      <c r="AO156" s="94">
        <v>0.8</v>
      </c>
      <c r="AP156" s="94">
        <v>0.82</v>
      </c>
      <c r="AQ156" s="95">
        <v>0.82</v>
      </c>
      <c r="AT156" s="98">
        <v>47</v>
      </c>
      <c r="AU156" s="114">
        <v>0.52100000000000002</v>
      </c>
      <c r="AV156" s="112">
        <v>0.52100000000000002</v>
      </c>
      <c r="AW156" s="112">
        <v>0.49099999999999999</v>
      </c>
      <c r="AX156" s="112">
        <v>0.39400000000000002</v>
      </c>
      <c r="AY156" s="112">
        <v>0.39400000000000002</v>
      </c>
      <c r="AZ156" s="112">
        <v>0.39400000000000002</v>
      </c>
      <c r="BA156" s="112">
        <v>0.42</v>
      </c>
      <c r="BB156" s="115">
        <v>0.42</v>
      </c>
      <c r="BC156" s="98">
        <v>47</v>
      </c>
      <c r="BD156" s="93">
        <v>1.0289999999999999</v>
      </c>
      <c r="BE156" s="94">
        <v>0.97899999999999998</v>
      </c>
      <c r="BF156" s="94">
        <v>0.75</v>
      </c>
      <c r="BG156" s="94">
        <v>0.7</v>
      </c>
      <c r="BH156" s="94">
        <v>0.6</v>
      </c>
      <c r="BI156" s="94">
        <v>0.7</v>
      </c>
      <c r="BJ156" s="94">
        <v>0.75</v>
      </c>
      <c r="BK156" s="95">
        <v>0.75</v>
      </c>
      <c r="BL156" s="123">
        <v>47</v>
      </c>
      <c r="BM156" s="93">
        <v>8.5000000000000006E-3</v>
      </c>
      <c r="BN156" s="94">
        <v>9.0000000000000011E-3</v>
      </c>
      <c r="BO156" s="94">
        <v>0.01</v>
      </c>
      <c r="BP156" s="94">
        <v>0.01</v>
      </c>
      <c r="BQ156" s="94">
        <v>1.0999999999999999E-2</v>
      </c>
      <c r="BR156" s="94">
        <v>1.2700000000000001E-2</v>
      </c>
      <c r="BS156" s="94">
        <v>1.4E-2</v>
      </c>
      <c r="BT156" s="95">
        <v>1.4500000000000001E-2</v>
      </c>
      <c r="BU156" s="124">
        <v>47</v>
      </c>
      <c r="BV156" s="120">
        <v>9.0000000000000011E-3</v>
      </c>
      <c r="BW156" s="121">
        <v>9.0000000000000011E-3</v>
      </c>
      <c r="BX156" s="121">
        <v>9.0000000000000011E-3</v>
      </c>
      <c r="BY156" s="121">
        <v>9.0000000000000011E-3</v>
      </c>
      <c r="BZ156" s="121">
        <v>9.0000000000000011E-3</v>
      </c>
      <c r="CA156" s="121">
        <v>9.0000000000000011E-3</v>
      </c>
      <c r="CB156" s="121">
        <v>9.0000000000000011E-3</v>
      </c>
      <c r="CC156" s="122">
        <v>9.0000000000000011E-3</v>
      </c>
    </row>
    <row r="157" spans="1:81" ht="14.25">
      <c r="A157" s="413"/>
      <c r="B157" s="413"/>
      <c r="C157" s="414"/>
      <c r="D157" s="413"/>
      <c r="E157" s="414"/>
      <c r="F157" s="413"/>
      <c r="G157" s="414"/>
      <c r="H157" s="414"/>
      <c r="I157" s="415"/>
      <c r="J157" s="413"/>
      <c r="K157" s="415"/>
      <c r="L157" s="416"/>
      <c r="M157" s="414"/>
      <c r="R157" s="394">
        <f t="shared" si="39"/>
        <v>60.277777777778425</v>
      </c>
      <c r="AI157" s="98">
        <v>66</v>
      </c>
      <c r="AJ157" s="93">
        <v>0.8</v>
      </c>
      <c r="AK157" s="94">
        <v>0.8</v>
      </c>
      <c r="AL157" s="94">
        <v>0.8</v>
      </c>
      <c r="AM157" s="94">
        <v>0.8</v>
      </c>
      <c r="AN157" s="94">
        <v>0.8</v>
      </c>
      <c r="AO157" s="94">
        <v>0.8</v>
      </c>
      <c r="AP157" s="94">
        <v>0.82</v>
      </c>
      <c r="AQ157" s="95">
        <v>0.82</v>
      </c>
      <c r="AT157" s="98">
        <v>48</v>
      </c>
      <c r="AU157" s="114">
        <v>0.52400000000000002</v>
      </c>
      <c r="AV157" s="112">
        <v>0.52400000000000002</v>
      </c>
      <c r="AW157" s="112">
        <v>0.49399999999999999</v>
      </c>
      <c r="AX157" s="112">
        <v>0.39600000000000002</v>
      </c>
      <c r="AY157" s="112">
        <v>0.39600000000000002</v>
      </c>
      <c r="AZ157" s="112">
        <v>0.39600000000000002</v>
      </c>
      <c r="BA157" s="112">
        <v>0.42</v>
      </c>
      <c r="BB157" s="115">
        <v>0.42</v>
      </c>
      <c r="BC157" s="98">
        <v>48</v>
      </c>
      <c r="BD157" s="93">
        <v>1.036</v>
      </c>
      <c r="BE157" s="94">
        <v>0.98599999999999999</v>
      </c>
      <c r="BF157" s="94">
        <v>0.75</v>
      </c>
      <c r="BG157" s="94">
        <v>0.7</v>
      </c>
      <c r="BH157" s="94">
        <v>0.6</v>
      </c>
      <c r="BI157" s="94">
        <v>0.7</v>
      </c>
      <c r="BJ157" s="94">
        <v>0.75</v>
      </c>
      <c r="BK157" s="95">
        <v>0.75</v>
      </c>
      <c r="BL157" s="123">
        <v>48</v>
      </c>
      <c r="BM157" s="93">
        <v>8.5000000000000006E-3</v>
      </c>
      <c r="BN157" s="94">
        <v>9.0000000000000011E-3</v>
      </c>
      <c r="BO157" s="94">
        <v>0.01</v>
      </c>
      <c r="BP157" s="94">
        <v>0.01</v>
      </c>
      <c r="BQ157" s="94">
        <v>1.0999999999999999E-2</v>
      </c>
      <c r="BR157" s="94">
        <v>1.2700000000000001E-2</v>
      </c>
      <c r="BS157" s="94">
        <v>1.4E-2</v>
      </c>
      <c r="BT157" s="95">
        <v>1.4500000000000001E-2</v>
      </c>
      <c r="BU157" s="124">
        <v>48</v>
      </c>
      <c r="BV157" s="120">
        <v>9.0000000000000011E-3</v>
      </c>
      <c r="BW157" s="121">
        <v>9.0000000000000011E-3</v>
      </c>
      <c r="BX157" s="121">
        <v>9.0000000000000011E-3</v>
      </c>
      <c r="BY157" s="121">
        <v>9.0000000000000011E-3</v>
      </c>
      <c r="BZ157" s="121">
        <v>9.0000000000000011E-3</v>
      </c>
      <c r="CA157" s="121">
        <v>9.0000000000000011E-3</v>
      </c>
      <c r="CB157" s="121">
        <v>9.0000000000000011E-3</v>
      </c>
      <c r="CC157" s="122">
        <v>9.0000000000000011E-3</v>
      </c>
    </row>
    <row r="158" spans="1:81" ht="14.25">
      <c r="A158" s="413"/>
      <c r="B158" s="413"/>
      <c r="C158" s="414"/>
      <c r="D158" s="413"/>
      <c r="E158" s="414"/>
      <c r="F158" s="413"/>
      <c r="G158" s="414"/>
      <c r="H158" s="414"/>
      <c r="I158" s="415"/>
      <c r="J158" s="413"/>
      <c r="K158" s="415"/>
      <c r="L158" s="416"/>
      <c r="M158" s="414"/>
      <c r="R158" s="394">
        <f t="shared" si="39"/>
        <v>60.666666666667311</v>
      </c>
      <c r="AI158" s="98">
        <v>67</v>
      </c>
      <c r="AJ158" s="93">
        <v>0.8</v>
      </c>
      <c r="AK158" s="94">
        <v>0.8</v>
      </c>
      <c r="AL158" s="94">
        <v>0.8</v>
      </c>
      <c r="AM158" s="94">
        <v>0.8</v>
      </c>
      <c r="AN158" s="94">
        <v>0.8</v>
      </c>
      <c r="AO158" s="94">
        <v>0.8</v>
      </c>
      <c r="AP158" s="94">
        <v>0.82</v>
      </c>
      <c r="AQ158" s="95">
        <v>0.82</v>
      </c>
      <c r="AT158" s="98">
        <v>49</v>
      </c>
      <c r="AU158" s="114">
        <v>0.52700000000000002</v>
      </c>
      <c r="AV158" s="112">
        <v>0.52700000000000002</v>
      </c>
      <c r="AW158" s="112">
        <v>0.497</v>
      </c>
      <c r="AX158" s="112">
        <v>0.39800000000000002</v>
      </c>
      <c r="AY158" s="112">
        <v>0.39800000000000002</v>
      </c>
      <c r="AZ158" s="112">
        <v>0.39800000000000002</v>
      </c>
      <c r="BA158" s="112">
        <v>0.42</v>
      </c>
      <c r="BB158" s="115">
        <v>0.42</v>
      </c>
      <c r="BC158" s="98">
        <v>49</v>
      </c>
      <c r="BD158" s="93">
        <v>1.0429999999999999</v>
      </c>
      <c r="BE158" s="94">
        <v>0.99299999999999999</v>
      </c>
      <c r="BF158" s="94">
        <v>0.75</v>
      </c>
      <c r="BG158" s="94">
        <v>0.7</v>
      </c>
      <c r="BH158" s="94">
        <v>0.6</v>
      </c>
      <c r="BI158" s="94">
        <v>0.7</v>
      </c>
      <c r="BJ158" s="94">
        <v>0.75</v>
      </c>
      <c r="BK158" s="95">
        <v>0.75</v>
      </c>
      <c r="BL158" s="123">
        <v>49</v>
      </c>
      <c r="BM158" s="93">
        <v>8.5000000000000006E-3</v>
      </c>
      <c r="BN158" s="94">
        <v>9.0000000000000011E-3</v>
      </c>
      <c r="BO158" s="94">
        <v>0.01</v>
      </c>
      <c r="BP158" s="94">
        <v>0.01</v>
      </c>
      <c r="BQ158" s="94">
        <v>1.0999999999999999E-2</v>
      </c>
      <c r="BR158" s="94">
        <v>1.2700000000000001E-2</v>
      </c>
      <c r="BS158" s="94">
        <v>1.4E-2</v>
      </c>
      <c r="BT158" s="95">
        <v>1.4500000000000001E-2</v>
      </c>
      <c r="BU158" s="124">
        <v>49</v>
      </c>
      <c r="BV158" s="120">
        <v>9.0000000000000011E-3</v>
      </c>
      <c r="BW158" s="121">
        <v>9.0000000000000011E-3</v>
      </c>
      <c r="BX158" s="121">
        <v>9.0000000000000011E-3</v>
      </c>
      <c r="BY158" s="121">
        <v>9.0000000000000011E-3</v>
      </c>
      <c r="BZ158" s="121">
        <v>9.0000000000000011E-3</v>
      </c>
      <c r="CA158" s="121">
        <v>9.0000000000000011E-3</v>
      </c>
      <c r="CB158" s="121">
        <v>9.0000000000000011E-3</v>
      </c>
      <c r="CC158" s="122">
        <v>9.0000000000000011E-3</v>
      </c>
    </row>
    <row r="159" spans="1:81" ht="14.25">
      <c r="A159" s="413"/>
      <c r="B159" s="413"/>
      <c r="C159" s="414"/>
      <c r="D159" s="413"/>
      <c r="E159" s="414"/>
      <c r="F159" s="413"/>
      <c r="G159" s="414"/>
      <c r="H159" s="414"/>
      <c r="I159" s="415"/>
      <c r="J159" s="413"/>
      <c r="K159" s="415"/>
      <c r="L159" s="416"/>
      <c r="M159" s="414"/>
      <c r="R159" s="394">
        <f t="shared" si="39"/>
        <v>61.055555555556197</v>
      </c>
      <c r="AI159" s="98">
        <v>68</v>
      </c>
      <c r="AJ159" s="93">
        <v>0.8</v>
      </c>
      <c r="AK159" s="94">
        <v>0.8</v>
      </c>
      <c r="AL159" s="94">
        <v>0.8</v>
      </c>
      <c r="AM159" s="94">
        <v>0.8</v>
      </c>
      <c r="AN159" s="94">
        <v>0.8</v>
      </c>
      <c r="AO159" s="94">
        <v>0.8</v>
      </c>
      <c r="AP159" s="94">
        <v>0.82</v>
      </c>
      <c r="AQ159" s="95">
        <v>0.82</v>
      </c>
      <c r="AT159" s="98">
        <v>50</v>
      </c>
      <c r="AU159" s="114">
        <v>0.53</v>
      </c>
      <c r="AV159" s="112">
        <v>0.53</v>
      </c>
      <c r="AW159" s="112">
        <v>0.5</v>
      </c>
      <c r="AX159" s="112">
        <v>0.4</v>
      </c>
      <c r="AY159" s="112">
        <v>0.4</v>
      </c>
      <c r="AZ159" s="112">
        <v>0.4</v>
      </c>
      <c r="BA159" s="112">
        <v>0.42</v>
      </c>
      <c r="BB159" s="115">
        <v>0.42</v>
      </c>
      <c r="BC159" s="98">
        <v>50</v>
      </c>
      <c r="BD159" s="93">
        <v>1.05</v>
      </c>
      <c r="BE159" s="94">
        <v>1</v>
      </c>
      <c r="BF159" s="94">
        <v>0.75</v>
      </c>
      <c r="BG159" s="94">
        <v>0.7</v>
      </c>
      <c r="BH159" s="94">
        <v>0.6</v>
      </c>
      <c r="BI159" s="94">
        <v>0.7</v>
      </c>
      <c r="BJ159" s="94">
        <v>0.75</v>
      </c>
      <c r="BK159" s="95">
        <v>0.75</v>
      </c>
      <c r="BL159" s="123">
        <v>50</v>
      </c>
      <c r="BM159" s="93">
        <v>8.5000000000000006E-3</v>
      </c>
      <c r="BN159" s="94">
        <v>9.0000000000000011E-3</v>
      </c>
      <c r="BO159" s="94">
        <v>0.01</v>
      </c>
      <c r="BP159" s="94">
        <v>0.01</v>
      </c>
      <c r="BQ159" s="94">
        <v>1.0999999999999999E-2</v>
      </c>
      <c r="BR159" s="94">
        <v>1.2700000000000001E-2</v>
      </c>
      <c r="BS159" s="94">
        <v>1.4E-2</v>
      </c>
      <c r="BT159" s="95">
        <v>1.4500000000000001E-2</v>
      </c>
      <c r="BU159" s="124">
        <v>50</v>
      </c>
      <c r="BV159" s="120">
        <v>9.0000000000000011E-3</v>
      </c>
      <c r="BW159" s="121">
        <v>9.0000000000000011E-3</v>
      </c>
      <c r="BX159" s="121">
        <v>9.0000000000000011E-3</v>
      </c>
      <c r="BY159" s="121">
        <v>9.0000000000000011E-3</v>
      </c>
      <c r="BZ159" s="121">
        <v>9.0000000000000011E-3</v>
      </c>
      <c r="CA159" s="121">
        <v>9.0000000000000011E-3</v>
      </c>
      <c r="CB159" s="121">
        <v>9.0000000000000011E-3</v>
      </c>
      <c r="CC159" s="122">
        <v>9.0000000000000011E-3</v>
      </c>
    </row>
    <row r="160" spans="1:81" ht="14.25">
      <c r="A160" s="413"/>
      <c r="B160" s="413"/>
      <c r="C160" s="414"/>
      <c r="D160" s="413"/>
      <c r="E160" s="414"/>
      <c r="F160" s="413"/>
      <c r="G160" s="414"/>
      <c r="H160" s="414"/>
      <c r="I160" s="415"/>
      <c r="J160" s="413"/>
      <c r="K160" s="415"/>
      <c r="L160" s="416"/>
      <c r="M160" s="414"/>
      <c r="R160" s="394">
        <f t="shared" si="39"/>
        <v>61.444444444445082</v>
      </c>
      <c r="AI160" s="98">
        <v>69</v>
      </c>
      <c r="AJ160" s="93">
        <v>0.8</v>
      </c>
      <c r="AK160" s="94">
        <v>0.8</v>
      </c>
      <c r="AL160" s="94">
        <v>0.8</v>
      </c>
      <c r="AM160" s="94">
        <v>0.8</v>
      </c>
      <c r="AN160" s="94">
        <v>0.8</v>
      </c>
      <c r="AO160" s="94">
        <v>0.8</v>
      </c>
      <c r="AP160" s="94">
        <v>0.82</v>
      </c>
      <c r="AQ160" s="95">
        <v>0.82</v>
      </c>
      <c r="AT160" s="98">
        <v>51</v>
      </c>
      <c r="AU160" s="114">
        <v>0.53300000000000003</v>
      </c>
      <c r="AV160" s="112">
        <v>0.53300000000000003</v>
      </c>
      <c r="AW160" s="112">
        <v>0.503</v>
      </c>
      <c r="AX160" s="112">
        <v>0.40200000000000002</v>
      </c>
      <c r="AY160" s="112">
        <v>0.40200000000000002</v>
      </c>
      <c r="AZ160" s="112">
        <v>0.40200000000000002</v>
      </c>
      <c r="BA160" s="112">
        <v>0.42</v>
      </c>
      <c r="BB160" s="115">
        <v>0.42</v>
      </c>
      <c r="BC160" s="98">
        <v>51</v>
      </c>
      <c r="BD160" s="93">
        <v>1.0569999999999999</v>
      </c>
      <c r="BE160" s="94">
        <v>1.0069999999999999</v>
      </c>
      <c r="BF160" s="94">
        <v>0.75</v>
      </c>
      <c r="BG160" s="94">
        <v>0.7</v>
      </c>
      <c r="BH160" s="94">
        <v>0.6</v>
      </c>
      <c r="BI160" s="94">
        <v>0.7</v>
      </c>
      <c r="BJ160" s="94">
        <v>0.75</v>
      </c>
      <c r="BK160" s="95">
        <v>0.75</v>
      </c>
      <c r="BL160" s="123">
        <v>51</v>
      </c>
      <c r="BM160" s="93">
        <v>8.5000000000000006E-3</v>
      </c>
      <c r="BN160" s="94">
        <v>9.0000000000000011E-3</v>
      </c>
      <c r="BO160" s="94">
        <v>0.01</v>
      </c>
      <c r="BP160" s="94">
        <v>0.01</v>
      </c>
      <c r="BQ160" s="94">
        <v>1.0999999999999999E-2</v>
      </c>
      <c r="BR160" s="94">
        <v>1.2700000000000001E-2</v>
      </c>
      <c r="BS160" s="94">
        <v>1.4E-2</v>
      </c>
      <c r="BT160" s="95">
        <v>1.4500000000000001E-2</v>
      </c>
      <c r="BU160" s="124">
        <v>51</v>
      </c>
      <c r="BV160" s="120">
        <v>9.0000000000000011E-3</v>
      </c>
      <c r="BW160" s="121">
        <v>9.0000000000000011E-3</v>
      </c>
      <c r="BX160" s="121">
        <v>9.0000000000000011E-3</v>
      </c>
      <c r="BY160" s="121">
        <v>9.0000000000000011E-3</v>
      </c>
      <c r="BZ160" s="121">
        <v>9.0000000000000011E-3</v>
      </c>
      <c r="CA160" s="121">
        <v>9.0000000000000011E-3</v>
      </c>
      <c r="CB160" s="121">
        <v>9.0000000000000011E-3</v>
      </c>
      <c r="CC160" s="122">
        <v>9.0000000000000011E-3</v>
      </c>
    </row>
    <row r="161" spans="1:81" ht="14.25">
      <c r="A161" s="413"/>
      <c r="B161" s="413"/>
      <c r="C161" s="414"/>
      <c r="D161" s="413"/>
      <c r="E161" s="414"/>
      <c r="F161" s="413"/>
      <c r="G161" s="414"/>
      <c r="H161" s="414"/>
      <c r="I161" s="415"/>
      <c r="J161" s="413"/>
      <c r="K161" s="415"/>
      <c r="L161" s="416"/>
      <c r="M161" s="414"/>
      <c r="R161" s="394">
        <f t="shared" si="39"/>
        <v>61.833333333333968</v>
      </c>
      <c r="AI161" s="98">
        <v>70</v>
      </c>
      <c r="AJ161" s="93">
        <v>0.8</v>
      </c>
      <c r="AK161" s="94">
        <v>0.8</v>
      </c>
      <c r="AL161" s="94">
        <v>0.8</v>
      </c>
      <c r="AM161" s="94">
        <v>0.8</v>
      </c>
      <c r="AN161" s="94">
        <v>0.8</v>
      </c>
      <c r="AO161" s="94">
        <v>0.8</v>
      </c>
      <c r="AP161" s="94">
        <v>0.82</v>
      </c>
      <c r="AQ161" s="95">
        <v>0.82</v>
      </c>
      <c r="AT161" s="98">
        <v>52</v>
      </c>
      <c r="AU161" s="114">
        <v>0.53600000000000003</v>
      </c>
      <c r="AV161" s="112">
        <v>0.53600000000000003</v>
      </c>
      <c r="AW161" s="112">
        <v>0.50600000000000001</v>
      </c>
      <c r="AX161" s="112">
        <v>0.40400000000000003</v>
      </c>
      <c r="AY161" s="112">
        <v>0.40400000000000003</v>
      </c>
      <c r="AZ161" s="112">
        <v>0.40400000000000003</v>
      </c>
      <c r="BA161" s="112">
        <v>0.42</v>
      </c>
      <c r="BB161" s="115">
        <v>0.42</v>
      </c>
      <c r="BC161" s="98">
        <v>52</v>
      </c>
      <c r="BD161" s="93">
        <v>1.0640000000000001</v>
      </c>
      <c r="BE161" s="94">
        <v>1.014</v>
      </c>
      <c r="BF161" s="94">
        <v>0.75</v>
      </c>
      <c r="BG161" s="94">
        <v>0.7</v>
      </c>
      <c r="BH161" s="94">
        <v>0.6</v>
      </c>
      <c r="BI161" s="94">
        <v>0.7</v>
      </c>
      <c r="BJ161" s="94">
        <v>0.75</v>
      </c>
      <c r="BK161" s="95">
        <v>0.75</v>
      </c>
      <c r="BL161" s="123">
        <v>52</v>
      </c>
      <c r="BM161" s="93">
        <v>8.5000000000000006E-3</v>
      </c>
      <c r="BN161" s="94">
        <v>9.0000000000000011E-3</v>
      </c>
      <c r="BO161" s="94">
        <v>0.01</v>
      </c>
      <c r="BP161" s="94">
        <v>0.01</v>
      </c>
      <c r="BQ161" s="94">
        <v>1.0999999999999999E-2</v>
      </c>
      <c r="BR161" s="94">
        <v>1.2700000000000001E-2</v>
      </c>
      <c r="BS161" s="94">
        <v>1.4E-2</v>
      </c>
      <c r="BT161" s="95">
        <v>1.4500000000000001E-2</v>
      </c>
      <c r="BU161" s="124">
        <v>52</v>
      </c>
      <c r="BV161" s="120">
        <v>9.0000000000000011E-3</v>
      </c>
      <c r="BW161" s="121">
        <v>9.0000000000000011E-3</v>
      </c>
      <c r="BX161" s="121">
        <v>9.0000000000000011E-3</v>
      </c>
      <c r="BY161" s="121">
        <v>9.0000000000000011E-3</v>
      </c>
      <c r="BZ161" s="121">
        <v>9.0000000000000011E-3</v>
      </c>
      <c r="CA161" s="121">
        <v>9.0000000000000011E-3</v>
      </c>
      <c r="CB161" s="121">
        <v>9.0000000000000011E-3</v>
      </c>
      <c r="CC161" s="122">
        <v>9.0000000000000011E-3</v>
      </c>
    </row>
    <row r="162" spans="1:81" ht="14.25">
      <c r="A162" s="413"/>
      <c r="B162" s="413"/>
      <c r="C162" s="414"/>
      <c r="D162" s="413"/>
      <c r="E162" s="414"/>
      <c r="F162" s="413"/>
      <c r="G162" s="414"/>
      <c r="H162" s="414"/>
      <c r="I162" s="415"/>
      <c r="J162" s="413"/>
      <c r="K162" s="415"/>
      <c r="L162" s="416"/>
      <c r="M162" s="414"/>
      <c r="R162" s="394">
        <f t="shared" si="39"/>
        <v>62.222222222222854</v>
      </c>
      <c r="AI162" s="98">
        <v>71</v>
      </c>
      <c r="AJ162" s="93">
        <v>0.78</v>
      </c>
      <c r="AK162" s="94">
        <v>0.78</v>
      </c>
      <c r="AL162" s="94">
        <v>0.78</v>
      </c>
      <c r="AM162" s="94">
        <v>0.78</v>
      </c>
      <c r="AN162" s="94">
        <v>0.78</v>
      </c>
      <c r="AO162" s="94">
        <v>0.78</v>
      </c>
      <c r="AP162" s="94">
        <v>0.78</v>
      </c>
      <c r="AQ162" s="95">
        <v>0.78</v>
      </c>
      <c r="AT162" s="98">
        <v>53</v>
      </c>
      <c r="AU162" s="114">
        <v>0.53900000000000003</v>
      </c>
      <c r="AV162" s="112">
        <v>0.53900000000000003</v>
      </c>
      <c r="AW162" s="112">
        <v>0.50900000000000001</v>
      </c>
      <c r="AX162" s="112">
        <v>0.40600000000000003</v>
      </c>
      <c r="AY162" s="112">
        <v>0.40600000000000003</v>
      </c>
      <c r="AZ162" s="112">
        <v>0.40600000000000003</v>
      </c>
      <c r="BA162" s="112">
        <v>0.42</v>
      </c>
      <c r="BB162" s="115">
        <v>0.42</v>
      </c>
      <c r="BC162" s="98">
        <v>53</v>
      </c>
      <c r="BD162" s="93">
        <v>1.071</v>
      </c>
      <c r="BE162" s="94">
        <v>1.0209999999999999</v>
      </c>
      <c r="BF162" s="94">
        <v>0.75</v>
      </c>
      <c r="BG162" s="94">
        <v>0.7</v>
      </c>
      <c r="BH162" s="94">
        <v>0.6</v>
      </c>
      <c r="BI162" s="94">
        <v>0.7</v>
      </c>
      <c r="BJ162" s="94">
        <v>0.75</v>
      </c>
      <c r="BK162" s="95">
        <v>0.75</v>
      </c>
      <c r="BL162" s="123">
        <v>53</v>
      </c>
      <c r="BM162" s="93">
        <v>8.5000000000000006E-3</v>
      </c>
      <c r="BN162" s="94">
        <v>9.0000000000000011E-3</v>
      </c>
      <c r="BO162" s="94">
        <v>0.01</v>
      </c>
      <c r="BP162" s="94">
        <v>0.01</v>
      </c>
      <c r="BQ162" s="94">
        <v>1.0999999999999999E-2</v>
      </c>
      <c r="BR162" s="94">
        <v>1.2700000000000001E-2</v>
      </c>
      <c r="BS162" s="94">
        <v>1.4E-2</v>
      </c>
      <c r="BT162" s="95">
        <v>1.4500000000000001E-2</v>
      </c>
      <c r="BU162" s="124">
        <v>53</v>
      </c>
      <c r="BV162" s="120">
        <v>9.0000000000000011E-3</v>
      </c>
      <c r="BW162" s="121">
        <v>9.0000000000000011E-3</v>
      </c>
      <c r="BX162" s="121">
        <v>9.0000000000000011E-3</v>
      </c>
      <c r="BY162" s="121">
        <v>9.0000000000000011E-3</v>
      </c>
      <c r="BZ162" s="121">
        <v>9.0000000000000011E-3</v>
      </c>
      <c r="CA162" s="121">
        <v>9.0000000000000011E-3</v>
      </c>
      <c r="CB162" s="121">
        <v>9.0000000000000011E-3</v>
      </c>
      <c r="CC162" s="122">
        <v>9.0000000000000011E-3</v>
      </c>
    </row>
    <row r="163" spans="1:81" ht="14.25">
      <c r="A163" s="413"/>
      <c r="B163" s="413"/>
      <c r="C163" s="414"/>
      <c r="D163" s="413"/>
      <c r="E163" s="414"/>
      <c r="F163" s="413"/>
      <c r="G163" s="414"/>
      <c r="H163" s="414"/>
      <c r="I163" s="415"/>
      <c r="J163" s="413"/>
      <c r="K163" s="415"/>
      <c r="L163" s="416"/>
      <c r="M163" s="414"/>
      <c r="R163" s="394">
        <f t="shared" si="39"/>
        <v>62.61111111111174</v>
      </c>
      <c r="AI163" s="98">
        <v>72</v>
      </c>
      <c r="AJ163" s="93">
        <v>0.78</v>
      </c>
      <c r="AK163" s="94">
        <v>0.78</v>
      </c>
      <c r="AL163" s="94">
        <v>0.78</v>
      </c>
      <c r="AM163" s="94">
        <v>0.78</v>
      </c>
      <c r="AN163" s="94">
        <v>0.78</v>
      </c>
      <c r="AO163" s="94">
        <v>0.78</v>
      </c>
      <c r="AP163" s="94">
        <v>0.78</v>
      </c>
      <c r="AQ163" s="95">
        <v>0.78</v>
      </c>
      <c r="AT163" s="98">
        <v>54</v>
      </c>
      <c r="AU163" s="114">
        <v>0.54200000000000004</v>
      </c>
      <c r="AV163" s="112">
        <v>0.54200000000000004</v>
      </c>
      <c r="AW163" s="112">
        <v>0.51200000000000001</v>
      </c>
      <c r="AX163" s="112">
        <v>0.40800000000000003</v>
      </c>
      <c r="AY163" s="112">
        <v>0.40800000000000003</v>
      </c>
      <c r="AZ163" s="112">
        <v>0.40800000000000003</v>
      </c>
      <c r="BA163" s="112">
        <v>0.42</v>
      </c>
      <c r="BB163" s="115">
        <v>0.42</v>
      </c>
      <c r="BC163" s="98">
        <v>54</v>
      </c>
      <c r="BD163" s="93">
        <v>1.0780000000000001</v>
      </c>
      <c r="BE163" s="94">
        <v>1.028</v>
      </c>
      <c r="BF163" s="94">
        <v>0.75</v>
      </c>
      <c r="BG163" s="94">
        <v>0.7</v>
      </c>
      <c r="BH163" s="94">
        <v>0.6</v>
      </c>
      <c r="BI163" s="94">
        <v>0.7</v>
      </c>
      <c r="BJ163" s="94">
        <v>0.75</v>
      </c>
      <c r="BK163" s="95">
        <v>0.75</v>
      </c>
      <c r="BL163" s="123">
        <v>54</v>
      </c>
      <c r="BM163" s="93">
        <v>8.5000000000000006E-3</v>
      </c>
      <c r="BN163" s="94">
        <v>9.0000000000000011E-3</v>
      </c>
      <c r="BO163" s="94">
        <v>0.01</v>
      </c>
      <c r="BP163" s="94">
        <v>0.01</v>
      </c>
      <c r="BQ163" s="94">
        <v>1.0999999999999999E-2</v>
      </c>
      <c r="BR163" s="94">
        <v>1.2700000000000001E-2</v>
      </c>
      <c r="BS163" s="94">
        <v>1.4E-2</v>
      </c>
      <c r="BT163" s="95">
        <v>1.4500000000000001E-2</v>
      </c>
      <c r="BU163" s="124">
        <v>54</v>
      </c>
      <c r="BV163" s="120">
        <v>9.0000000000000011E-3</v>
      </c>
      <c r="BW163" s="121">
        <v>9.0000000000000011E-3</v>
      </c>
      <c r="BX163" s="121">
        <v>9.0000000000000011E-3</v>
      </c>
      <c r="BY163" s="121">
        <v>9.0000000000000011E-3</v>
      </c>
      <c r="BZ163" s="121">
        <v>9.0000000000000011E-3</v>
      </c>
      <c r="CA163" s="121">
        <v>9.0000000000000011E-3</v>
      </c>
      <c r="CB163" s="121">
        <v>9.0000000000000011E-3</v>
      </c>
      <c r="CC163" s="122">
        <v>9.0000000000000011E-3</v>
      </c>
    </row>
    <row r="164" spans="1:81" ht="14.25">
      <c r="A164" s="413"/>
      <c r="B164" s="413"/>
      <c r="C164" s="414"/>
      <c r="D164" s="413"/>
      <c r="E164" s="414"/>
      <c r="F164" s="413"/>
      <c r="G164" s="414"/>
      <c r="H164" s="414"/>
      <c r="I164" s="415"/>
      <c r="J164" s="413"/>
      <c r="K164" s="415"/>
      <c r="L164" s="416"/>
      <c r="M164" s="414"/>
      <c r="R164" s="394">
        <f t="shared" si="39"/>
        <v>63.000000000000625</v>
      </c>
      <c r="AI164" s="98">
        <v>73</v>
      </c>
      <c r="AJ164" s="93">
        <v>0.78</v>
      </c>
      <c r="AK164" s="94">
        <v>0.78</v>
      </c>
      <c r="AL164" s="94">
        <v>0.78</v>
      </c>
      <c r="AM164" s="94">
        <v>0.78</v>
      </c>
      <c r="AN164" s="94">
        <v>0.78</v>
      </c>
      <c r="AO164" s="94">
        <v>0.78</v>
      </c>
      <c r="AP164" s="94">
        <v>0.78</v>
      </c>
      <c r="AQ164" s="95">
        <v>0.78</v>
      </c>
      <c r="AT164" s="98">
        <v>55</v>
      </c>
      <c r="AU164" s="114">
        <v>0.54500000000000004</v>
      </c>
      <c r="AV164" s="112">
        <v>0.54500000000000004</v>
      </c>
      <c r="AW164" s="112">
        <v>0.51500000000000001</v>
      </c>
      <c r="AX164" s="112">
        <v>0.41</v>
      </c>
      <c r="AY164" s="112">
        <v>0.41</v>
      </c>
      <c r="AZ164" s="112">
        <v>0.41</v>
      </c>
      <c r="BA164" s="112">
        <v>0.42</v>
      </c>
      <c r="BB164" s="115">
        <v>0.42</v>
      </c>
      <c r="BC164" s="98">
        <v>55</v>
      </c>
      <c r="BD164" s="93">
        <v>1.085</v>
      </c>
      <c r="BE164" s="94">
        <v>1.0349999999999999</v>
      </c>
      <c r="BF164" s="94">
        <v>0.75</v>
      </c>
      <c r="BG164" s="94">
        <v>0.7</v>
      </c>
      <c r="BH164" s="94">
        <v>0.6</v>
      </c>
      <c r="BI164" s="94">
        <v>0.7</v>
      </c>
      <c r="BJ164" s="94">
        <v>0.75</v>
      </c>
      <c r="BK164" s="95">
        <v>0.75</v>
      </c>
      <c r="BL164" s="123">
        <v>55</v>
      </c>
      <c r="BM164" s="93">
        <v>8.5000000000000006E-3</v>
      </c>
      <c r="BN164" s="94">
        <v>9.0000000000000011E-3</v>
      </c>
      <c r="BO164" s="94">
        <v>0.01</v>
      </c>
      <c r="BP164" s="94">
        <v>0.01</v>
      </c>
      <c r="BQ164" s="94">
        <v>1.0999999999999999E-2</v>
      </c>
      <c r="BR164" s="94">
        <v>1.2700000000000001E-2</v>
      </c>
      <c r="BS164" s="94">
        <v>1.4E-2</v>
      </c>
      <c r="BT164" s="95">
        <v>1.4500000000000001E-2</v>
      </c>
      <c r="BU164" s="124">
        <v>55</v>
      </c>
      <c r="BV164" s="120">
        <v>9.0000000000000011E-3</v>
      </c>
      <c r="BW164" s="121">
        <v>9.0000000000000011E-3</v>
      </c>
      <c r="BX164" s="121">
        <v>9.0000000000000011E-3</v>
      </c>
      <c r="BY164" s="121">
        <v>9.0000000000000011E-3</v>
      </c>
      <c r="BZ164" s="121">
        <v>9.0000000000000011E-3</v>
      </c>
      <c r="CA164" s="121">
        <v>9.0000000000000011E-3</v>
      </c>
      <c r="CB164" s="121">
        <v>9.0000000000000011E-3</v>
      </c>
      <c r="CC164" s="122">
        <v>9.0000000000000011E-3</v>
      </c>
    </row>
    <row r="165" spans="1:81" ht="14.25">
      <c r="A165" s="413"/>
      <c r="B165" s="413"/>
      <c r="C165" s="414"/>
      <c r="D165" s="413"/>
      <c r="E165" s="414"/>
      <c r="F165" s="413"/>
      <c r="G165" s="414"/>
      <c r="H165" s="414"/>
      <c r="I165" s="415"/>
      <c r="J165" s="413"/>
      <c r="K165" s="415"/>
      <c r="L165" s="416"/>
      <c r="M165" s="414"/>
      <c r="R165" s="394">
        <f t="shared" si="39"/>
        <v>63.388888888889511</v>
      </c>
      <c r="AI165" s="98">
        <v>74</v>
      </c>
      <c r="AJ165" s="93">
        <v>0.78</v>
      </c>
      <c r="AK165" s="94">
        <v>0.78</v>
      </c>
      <c r="AL165" s="94">
        <v>0.78</v>
      </c>
      <c r="AM165" s="94">
        <v>0.78</v>
      </c>
      <c r="AN165" s="94">
        <v>0.78</v>
      </c>
      <c r="AO165" s="94">
        <v>0.78</v>
      </c>
      <c r="AP165" s="94">
        <v>0.78</v>
      </c>
      <c r="AQ165" s="95">
        <v>0.78</v>
      </c>
      <c r="AT165" s="98">
        <v>56</v>
      </c>
      <c r="AU165" s="114">
        <v>0.54800000000000004</v>
      </c>
      <c r="AV165" s="112">
        <v>0.54800000000000004</v>
      </c>
      <c r="AW165" s="112">
        <v>0.51800000000000002</v>
      </c>
      <c r="AX165" s="112">
        <v>0.41200000000000003</v>
      </c>
      <c r="AY165" s="112">
        <v>0.41200000000000003</v>
      </c>
      <c r="AZ165" s="112">
        <v>0.41200000000000003</v>
      </c>
      <c r="BA165" s="112">
        <v>0.42</v>
      </c>
      <c r="BB165" s="115">
        <v>0.42</v>
      </c>
      <c r="BC165" s="98">
        <v>56</v>
      </c>
      <c r="BD165" s="93">
        <v>1.0920000000000001</v>
      </c>
      <c r="BE165" s="94">
        <v>1.042</v>
      </c>
      <c r="BF165" s="94">
        <v>0.75</v>
      </c>
      <c r="BG165" s="94">
        <v>0.7</v>
      </c>
      <c r="BH165" s="94">
        <v>0.6</v>
      </c>
      <c r="BI165" s="94">
        <v>0.7</v>
      </c>
      <c r="BJ165" s="94">
        <v>0.75</v>
      </c>
      <c r="BK165" s="95">
        <v>0.75</v>
      </c>
      <c r="BL165" s="123">
        <v>56</v>
      </c>
      <c r="BM165" s="93">
        <v>8.5000000000000006E-3</v>
      </c>
      <c r="BN165" s="94">
        <v>9.0000000000000011E-3</v>
      </c>
      <c r="BO165" s="94">
        <v>0.01</v>
      </c>
      <c r="BP165" s="94">
        <v>0.01</v>
      </c>
      <c r="BQ165" s="94">
        <v>1.0999999999999999E-2</v>
      </c>
      <c r="BR165" s="94">
        <v>1.2700000000000001E-2</v>
      </c>
      <c r="BS165" s="94">
        <v>1.4E-2</v>
      </c>
      <c r="BT165" s="95">
        <v>1.4500000000000001E-2</v>
      </c>
      <c r="BU165" s="124">
        <v>56</v>
      </c>
      <c r="BV165" s="120">
        <v>9.0000000000000011E-3</v>
      </c>
      <c r="BW165" s="121">
        <v>9.0000000000000011E-3</v>
      </c>
      <c r="BX165" s="121">
        <v>9.0000000000000011E-3</v>
      </c>
      <c r="BY165" s="121">
        <v>9.0000000000000011E-3</v>
      </c>
      <c r="BZ165" s="121">
        <v>9.0000000000000011E-3</v>
      </c>
      <c r="CA165" s="121">
        <v>9.0000000000000011E-3</v>
      </c>
      <c r="CB165" s="121">
        <v>9.0000000000000011E-3</v>
      </c>
      <c r="CC165" s="122">
        <v>9.0000000000000011E-3</v>
      </c>
    </row>
    <row r="166" spans="1:81" ht="14.25">
      <c r="A166" s="413"/>
      <c r="B166" s="413"/>
      <c r="C166" s="414"/>
      <c r="D166" s="413"/>
      <c r="E166" s="414"/>
      <c r="F166" s="413"/>
      <c r="G166" s="414"/>
      <c r="H166" s="414"/>
      <c r="I166" s="415"/>
      <c r="J166" s="413"/>
      <c r="K166" s="415"/>
      <c r="L166" s="416"/>
      <c r="M166" s="414"/>
      <c r="R166" s="394">
        <f t="shared" si="39"/>
        <v>63.777777777778397</v>
      </c>
      <c r="AI166" s="98">
        <v>75</v>
      </c>
      <c r="AJ166" s="93">
        <v>0.78</v>
      </c>
      <c r="AK166" s="94">
        <v>0.78</v>
      </c>
      <c r="AL166" s="94">
        <v>0.78</v>
      </c>
      <c r="AM166" s="94">
        <v>0.78</v>
      </c>
      <c r="AN166" s="94">
        <v>0.78</v>
      </c>
      <c r="AO166" s="94">
        <v>0.78</v>
      </c>
      <c r="AP166" s="94">
        <v>0.78</v>
      </c>
      <c r="AQ166" s="95">
        <v>0.78</v>
      </c>
      <c r="AT166" s="98">
        <v>57</v>
      </c>
      <c r="AU166" s="114">
        <v>0.55100000000000005</v>
      </c>
      <c r="AV166" s="112">
        <v>0.55100000000000005</v>
      </c>
      <c r="AW166" s="112">
        <v>0.52100000000000002</v>
      </c>
      <c r="AX166" s="112">
        <v>0.41400000000000003</v>
      </c>
      <c r="AY166" s="112">
        <v>0.41400000000000003</v>
      </c>
      <c r="AZ166" s="112">
        <v>0.41400000000000003</v>
      </c>
      <c r="BA166" s="112">
        <v>0.42</v>
      </c>
      <c r="BB166" s="115">
        <v>0.42</v>
      </c>
      <c r="BC166" s="98">
        <v>57</v>
      </c>
      <c r="BD166" s="93">
        <v>1.099</v>
      </c>
      <c r="BE166" s="94">
        <v>1.0489999999999999</v>
      </c>
      <c r="BF166" s="94">
        <v>0.75</v>
      </c>
      <c r="BG166" s="94">
        <v>0.7</v>
      </c>
      <c r="BH166" s="94">
        <v>0.6</v>
      </c>
      <c r="BI166" s="94">
        <v>0.7</v>
      </c>
      <c r="BJ166" s="94">
        <v>0.75</v>
      </c>
      <c r="BK166" s="95">
        <v>0.75</v>
      </c>
      <c r="BL166" s="123">
        <v>57</v>
      </c>
      <c r="BM166" s="93">
        <v>8.5000000000000006E-3</v>
      </c>
      <c r="BN166" s="94">
        <v>9.0000000000000011E-3</v>
      </c>
      <c r="BO166" s="94">
        <v>0.01</v>
      </c>
      <c r="BP166" s="94">
        <v>0.01</v>
      </c>
      <c r="BQ166" s="94">
        <v>1.0999999999999999E-2</v>
      </c>
      <c r="BR166" s="94">
        <v>1.2700000000000001E-2</v>
      </c>
      <c r="BS166" s="94">
        <v>1.4E-2</v>
      </c>
      <c r="BT166" s="95">
        <v>1.4500000000000001E-2</v>
      </c>
      <c r="BU166" s="124">
        <v>57</v>
      </c>
      <c r="BV166" s="120">
        <v>9.0000000000000011E-3</v>
      </c>
      <c r="BW166" s="121">
        <v>9.0000000000000011E-3</v>
      </c>
      <c r="BX166" s="121">
        <v>9.0000000000000011E-3</v>
      </c>
      <c r="BY166" s="121">
        <v>9.0000000000000011E-3</v>
      </c>
      <c r="BZ166" s="121">
        <v>9.0000000000000011E-3</v>
      </c>
      <c r="CA166" s="121">
        <v>9.0000000000000011E-3</v>
      </c>
      <c r="CB166" s="121">
        <v>9.0000000000000011E-3</v>
      </c>
      <c r="CC166" s="122">
        <v>9.0000000000000011E-3</v>
      </c>
    </row>
    <row r="167" spans="1:81" ht="14.25">
      <c r="A167" s="413"/>
      <c r="B167" s="413"/>
      <c r="C167" s="414"/>
      <c r="D167" s="413"/>
      <c r="E167" s="414"/>
      <c r="F167" s="413"/>
      <c r="G167" s="414"/>
      <c r="H167" s="414"/>
      <c r="I167" s="415"/>
      <c r="J167" s="413"/>
      <c r="K167" s="415"/>
      <c r="L167" s="416"/>
      <c r="M167" s="414"/>
      <c r="R167" s="394">
        <f t="shared" si="39"/>
        <v>64.166666666667282</v>
      </c>
      <c r="AI167" s="98">
        <v>76</v>
      </c>
      <c r="AJ167" s="93">
        <v>0.78</v>
      </c>
      <c r="AK167" s="94">
        <v>0.78</v>
      </c>
      <c r="AL167" s="94">
        <v>0.78</v>
      </c>
      <c r="AM167" s="94">
        <v>0.78</v>
      </c>
      <c r="AN167" s="94">
        <v>0.78</v>
      </c>
      <c r="AO167" s="94">
        <v>0.78</v>
      </c>
      <c r="AP167" s="94">
        <v>0.78</v>
      </c>
      <c r="AQ167" s="95">
        <v>0.78</v>
      </c>
      <c r="AT167" s="98">
        <v>58</v>
      </c>
      <c r="AU167" s="114">
        <v>0.55400000000000005</v>
      </c>
      <c r="AV167" s="112">
        <v>0.55400000000000005</v>
      </c>
      <c r="AW167" s="112">
        <v>0.52400000000000002</v>
      </c>
      <c r="AX167" s="112">
        <v>0.41600000000000004</v>
      </c>
      <c r="AY167" s="112">
        <v>0.41600000000000004</v>
      </c>
      <c r="AZ167" s="112">
        <v>0.41600000000000004</v>
      </c>
      <c r="BA167" s="112">
        <v>0.42</v>
      </c>
      <c r="BB167" s="115">
        <v>0.42</v>
      </c>
      <c r="BC167" s="98">
        <v>58</v>
      </c>
      <c r="BD167" s="93">
        <v>1.1060000000000001</v>
      </c>
      <c r="BE167" s="94">
        <v>1.056</v>
      </c>
      <c r="BF167" s="94">
        <v>0.75</v>
      </c>
      <c r="BG167" s="94">
        <v>0.7</v>
      </c>
      <c r="BH167" s="94">
        <v>0.6</v>
      </c>
      <c r="BI167" s="94">
        <v>0.7</v>
      </c>
      <c r="BJ167" s="94">
        <v>0.75</v>
      </c>
      <c r="BK167" s="95">
        <v>0.75</v>
      </c>
      <c r="BL167" s="123">
        <v>58</v>
      </c>
      <c r="BM167" s="93">
        <v>8.5000000000000006E-3</v>
      </c>
      <c r="BN167" s="94">
        <v>9.0000000000000011E-3</v>
      </c>
      <c r="BO167" s="94">
        <v>0.01</v>
      </c>
      <c r="BP167" s="94">
        <v>0.01</v>
      </c>
      <c r="BQ167" s="94">
        <v>1.0999999999999999E-2</v>
      </c>
      <c r="BR167" s="94">
        <v>1.2700000000000001E-2</v>
      </c>
      <c r="BS167" s="94">
        <v>1.4E-2</v>
      </c>
      <c r="BT167" s="95">
        <v>1.4500000000000001E-2</v>
      </c>
      <c r="BU167" s="124">
        <v>58</v>
      </c>
      <c r="BV167" s="120">
        <v>9.0000000000000011E-3</v>
      </c>
      <c r="BW167" s="121">
        <v>9.0000000000000011E-3</v>
      </c>
      <c r="BX167" s="121">
        <v>9.0000000000000011E-3</v>
      </c>
      <c r="BY167" s="121">
        <v>9.0000000000000011E-3</v>
      </c>
      <c r="BZ167" s="121">
        <v>9.0000000000000011E-3</v>
      </c>
      <c r="CA167" s="121">
        <v>9.0000000000000011E-3</v>
      </c>
      <c r="CB167" s="121">
        <v>9.0000000000000011E-3</v>
      </c>
      <c r="CC167" s="122">
        <v>9.0000000000000011E-3</v>
      </c>
    </row>
    <row r="168" spans="1:81" ht="14.25">
      <c r="A168" s="413"/>
      <c r="B168" s="413"/>
      <c r="C168" s="414"/>
      <c r="D168" s="413"/>
      <c r="E168" s="414"/>
      <c r="F168" s="413"/>
      <c r="G168" s="414"/>
      <c r="H168" s="414"/>
      <c r="I168" s="415"/>
      <c r="J168" s="413"/>
      <c r="K168" s="415"/>
      <c r="L168" s="416"/>
      <c r="M168" s="414"/>
      <c r="R168" s="394">
        <f t="shared" si="39"/>
        <v>64.555555555556168</v>
      </c>
      <c r="AI168" s="98">
        <v>77</v>
      </c>
      <c r="AJ168" s="93">
        <v>0.78</v>
      </c>
      <c r="AK168" s="94">
        <v>0.78</v>
      </c>
      <c r="AL168" s="94">
        <v>0.78</v>
      </c>
      <c r="AM168" s="94">
        <v>0.78</v>
      </c>
      <c r="AN168" s="94">
        <v>0.78</v>
      </c>
      <c r="AO168" s="94">
        <v>0.78</v>
      </c>
      <c r="AP168" s="94">
        <v>0.78</v>
      </c>
      <c r="AQ168" s="95">
        <v>0.78</v>
      </c>
      <c r="AT168" s="98">
        <v>59</v>
      </c>
      <c r="AU168" s="114">
        <v>0.55700000000000005</v>
      </c>
      <c r="AV168" s="112">
        <v>0.55700000000000005</v>
      </c>
      <c r="AW168" s="112">
        <v>0.52700000000000002</v>
      </c>
      <c r="AX168" s="112">
        <v>0.41799999999999998</v>
      </c>
      <c r="AY168" s="112">
        <v>0.41799999999999998</v>
      </c>
      <c r="AZ168" s="112">
        <v>0.41799999999999998</v>
      </c>
      <c r="BA168" s="112">
        <v>0.42</v>
      </c>
      <c r="BB168" s="115">
        <v>0.42</v>
      </c>
      <c r="BC168" s="98">
        <v>59</v>
      </c>
      <c r="BD168" s="93">
        <v>1.113</v>
      </c>
      <c r="BE168" s="94">
        <v>1.0629999999999999</v>
      </c>
      <c r="BF168" s="94">
        <v>0.75</v>
      </c>
      <c r="BG168" s="94">
        <v>0.7</v>
      </c>
      <c r="BH168" s="94">
        <v>0.6</v>
      </c>
      <c r="BI168" s="94">
        <v>0.7</v>
      </c>
      <c r="BJ168" s="94">
        <v>0.75</v>
      </c>
      <c r="BK168" s="95">
        <v>0.75</v>
      </c>
      <c r="BL168" s="123">
        <v>59</v>
      </c>
      <c r="BM168" s="93">
        <v>8.5000000000000006E-3</v>
      </c>
      <c r="BN168" s="94">
        <v>9.0000000000000011E-3</v>
      </c>
      <c r="BO168" s="94">
        <v>0.01</v>
      </c>
      <c r="BP168" s="94">
        <v>0.01</v>
      </c>
      <c r="BQ168" s="94">
        <v>1.0999999999999999E-2</v>
      </c>
      <c r="BR168" s="94">
        <v>1.2700000000000001E-2</v>
      </c>
      <c r="BS168" s="94">
        <v>1.4E-2</v>
      </c>
      <c r="BT168" s="95">
        <v>1.4500000000000001E-2</v>
      </c>
      <c r="BU168" s="124">
        <v>59</v>
      </c>
      <c r="BV168" s="120">
        <v>9.0000000000000011E-3</v>
      </c>
      <c r="BW168" s="121">
        <v>9.0000000000000011E-3</v>
      </c>
      <c r="BX168" s="121">
        <v>9.0000000000000011E-3</v>
      </c>
      <c r="BY168" s="121">
        <v>9.0000000000000011E-3</v>
      </c>
      <c r="BZ168" s="121">
        <v>9.0000000000000011E-3</v>
      </c>
      <c r="CA168" s="121">
        <v>9.0000000000000011E-3</v>
      </c>
      <c r="CB168" s="121">
        <v>9.0000000000000011E-3</v>
      </c>
      <c r="CC168" s="122">
        <v>9.0000000000000011E-3</v>
      </c>
    </row>
    <row r="169" spans="1:81" ht="14.25">
      <c r="A169" s="413"/>
      <c r="B169" s="413"/>
      <c r="C169" s="414"/>
      <c r="D169" s="413"/>
      <c r="E169" s="414"/>
      <c r="F169" s="413"/>
      <c r="G169" s="414"/>
      <c r="H169" s="414"/>
      <c r="I169" s="415"/>
      <c r="J169" s="413"/>
      <c r="K169" s="415"/>
      <c r="L169" s="416"/>
      <c r="M169" s="414"/>
      <c r="R169" s="394">
        <f t="shared" si="39"/>
        <v>64.944444444445054</v>
      </c>
      <c r="AI169" s="98">
        <v>78</v>
      </c>
      <c r="AJ169" s="93">
        <v>0.78</v>
      </c>
      <c r="AK169" s="94">
        <v>0.78</v>
      </c>
      <c r="AL169" s="94">
        <v>0.78</v>
      </c>
      <c r="AM169" s="94">
        <v>0.78</v>
      </c>
      <c r="AN169" s="94">
        <v>0.78</v>
      </c>
      <c r="AO169" s="94">
        <v>0.78</v>
      </c>
      <c r="AP169" s="94">
        <v>0.78</v>
      </c>
      <c r="AQ169" s="95">
        <v>0.78</v>
      </c>
      <c r="AT169" s="98">
        <v>60</v>
      </c>
      <c r="AU169" s="114">
        <v>0.56000000000000005</v>
      </c>
      <c r="AV169" s="112">
        <v>0.56000000000000005</v>
      </c>
      <c r="AW169" s="112">
        <v>0.53</v>
      </c>
      <c r="AX169" s="112">
        <v>0.42</v>
      </c>
      <c r="AY169" s="112">
        <v>0.42</v>
      </c>
      <c r="AZ169" s="112">
        <v>0.42</v>
      </c>
      <c r="BA169" s="112">
        <v>0.42</v>
      </c>
      <c r="BB169" s="115">
        <v>0.42</v>
      </c>
      <c r="BC169" s="98">
        <v>60</v>
      </c>
      <c r="BD169" s="93">
        <v>1.1200000000000001</v>
      </c>
      <c r="BE169" s="94">
        <v>1.07</v>
      </c>
      <c r="BF169" s="94">
        <v>0.75</v>
      </c>
      <c r="BG169" s="94">
        <v>0.7</v>
      </c>
      <c r="BH169" s="94">
        <v>0.6</v>
      </c>
      <c r="BI169" s="94">
        <v>0.7</v>
      </c>
      <c r="BJ169" s="94">
        <v>0.75</v>
      </c>
      <c r="BK169" s="95">
        <v>0.75</v>
      </c>
      <c r="BL169" s="123">
        <v>60</v>
      </c>
      <c r="BM169" s="93">
        <v>8.5000000000000006E-3</v>
      </c>
      <c r="BN169" s="94">
        <v>9.0000000000000011E-3</v>
      </c>
      <c r="BO169" s="94">
        <v>0.01</v>
      </c>
      <c r="BP169" s="94">
        <v>0.01</v>
      </c>
      <c r="BQ169" s="94">
        <v>1.0999999999999999E-2</v>
      </c>
      <c r="BR169" s="94">
        <v>1.2700000000000001E-2</v>
      </c>
      <c r="BS169" s="94">
        <v>1.4E-2</v>
      </c>
      <c r="BT169" s="95">
        <v>1.4500000000000001E-2</v>
      </c>
      <c r="BU169" s="124">
        <v>60</v>
      </c>
      <c r="BV169" s="120">
        <v>9.0000000000000011E-3</v>
      </c>
      <c r="BW169" s="121">
        <v>9.0000000000000011E-3</v>
      </c>
      <c r="BX169" s="121">
        <v>9.0000000000000011E-3</v>
      </c>
      <c r="BY169" s="121">
        <v>9.0000000000000011E-3</v>
      </c>
      <c r="BZ169" s="121">
        <v>9.0000000000000011E-3</v>
      </c>
      <c r="CA169" s="121">
        <v>9.0000000000000011E-3</v>
      </c>
      <c r="CB169" s="121">
        <v>9.0000000000000011E-3</v>
      </c>
      <c r="CC169" s="122">
        <v>9.0000000000000011E-3</v>
      </c>
    </row>
    <row r="170" spans="1:81" ht="14.25">
      <c r="A170" s="413"/>
      <c r="B170" s="413"/>
      <c r="C170" s="414"/>
      <c r="D170" s="413"/>
      <c r="E170" s="414"/>
      <c r="F170" s="413"/>
      <c r="G170" s="414"/>
      <c r="H170" s="414"/>
      <c r="I170" s="415"/>
      <c r="J170" s="413"/>
      <c r="K170" s="415"/>
      <c r="L170" s="416"/>
      <c r="M170" s="414"/>
      <c r="R170" s="394">
        <f t="shared" si="39"/>
        <v>65.33333333333394</v>
      </c>
      <c r="AI170" s="98">
        <v>79</v>
      </c>
      <c r="AJ170" s="93">
        <v>0.78</v>
      </c>
      <c r="AK170" s="94">
        <v>0.78</v>
      </c>
      <c r="AL170" s="94">
        <v>0.78</v>
      </c>
      <c r="AM170" s="94">
        <v>0.78</v>
      </c>
      <c r="AN170" s="94">
        <v>0.78</v>
      </c>
      <c r="AO170" s="94">
        <v>0.78</v>
      </c>
      <c r="AP170" s="94">
        <v>0.78</v>
      </c>
      <c r="AQ170" s="95">
        <v>0.78</v>
      </c>
      <c r="AT170" s="98">
        <v>61</v>
      </c>
      <c r="AU170" s="114">
        <v>0.56300000000000006</v>
      </c>
      <c r="AV170" s="112">
        <v>0.56300000000000006</v>
      </c>
      <c r="AW170" s="112">
        <v>0.53300000000000003</v>
      </c>
      <c r="AX170" s="112">
        <v>0.42199999999999999</v>
      </c>
      <c r="AY170" s="112">
        <v>0.42199999999999999</v>
      </c>
      <c r="AZ170" s="112">
        <v>0.42199999999999999</v>
      </c>
      <c r="BA170" s="112">
        <v>0.42</v>
      </c>
      <c r="BB170" s="115">
        <v>0.42</v>
      </c>
      <c r="BC170" s="98">
        <v>61</v>
      </c>
      <c r="BD170" s="93">
        <v>1.127</v>
      </c>
      <c r="BE170" s="94">
        <v>1.077</v>
      </c>
      <c r="BF170" s="94">
        <v>0.75</v>
      </c>
      <c r="BG170" s="94">
        <v>0.7</v>
      </c>
      <c r="BH170" s="94">
        <v>0.6</v>
      </c>
      <c r="BI170" s="94">
        <v>0.7</v>
      </c>
      <c r="BJ170" s="94">
        <v>0.75</v>
      </c>
      <c r="BK170" s="95">
        <v>0.75</v>
      </c>
      <c r="BL170" s="123">
        <v>61</v>
      </c>
      <c r="BM170" s="93">
        <v>8.5000000000000006E-3</v>
      </c>
      <c r="BN170" s="94">
        <v>9.0000000000000011E-3</v>
      </c>
      <c r="BO170" s="94">
        <v>0.01</v>
      </c>
      <c r="BP170" s="94">
        <v>0.01</v>
      </c>
      <c r="BQ170" s="94">
        <v>1.0999999999999999E-2</v>
      </c>
      <c r="BR170" s="94">
        <v>1.2700000000000001E-2</v>
      </c>
      <c r="BS170" s="94">
        <v>1.4E-2</v>
      </c>
      <c r="BT170" s="95">
        <v>1.4500000000000001E-2</v>
      </c>
      <c r="BU170" s="124">
        <v>61</v>
      </c>
      <c r="BV170" s="120">
        <v>9.0000000000000011E-3</v>
      </c>
      <c r="BW170" s="121">
        <v>9.0000000000000011E-3</v>
      </c>
      <c r="BX170" s="121">
        <v>9.0000000000000011E-3</v>
      </c>
      <c r="BY170" s="121">
        <v>9.0000000000000011E-3</v>
      </c>
      <c r="BZ170" s="121">
        <v>9.0000000000000011E-3</v>
      </c>
      <c r="CA170" s="121">
        <v>9.0000000000000011E-3</v>
      </c>
      <c r="CB170" s="121">
        <v>9.0000000000000011E-3</v>
      </c>
      <c r="CC170" s="122">
        <v>9.0000000000000011E-3</v>
      </c>
    </row>
    <row r="171" spans="1:81" ht="14.25">
      <c r="A171" s="413"/>
      <c r="B171" s="413"/>
      <c r="C171" s="414"/>
      <c r="D171" s="413"/>
      <c r="E171" s="414"/>
      <c r="F171" s="413"/>
      <c r="G171" s="414"/>
      <c r="H171" s="414"/>
      <c r="I171" s="415"/>
      <c r="J171" s="413"/>
      <c r="K171" s="415"/>
      <c r="L171" s="416"/>
      <c r="M171" s="414"/>
      <c r="R171" s="394">
        <f t="shared" si="39"/>
        <v>65.722222222222825</v>
      </c>
      <c r="AI171" s="98">
        <v>80</v>
      </c>
      <c r="AJ171" s="93">
        <v>0.78</v>
      </c>
      <c r="AK171" s="94">
        <v>0.78</v>
      </c>
      <c r="AL171" s="94">
        <v>0.78</v>
      </c>
      <c r="AM171" s="94">
        <v>0.78</v>
      </c>
      <c r="AN171" s="94">
        <v>0.78</v>
      </c>
      <c r="AO171" s="94">
        <v>0.78</v>
      </c>
      <c r="AP171" s="94">
        <v>0.78</v>
      </c>
      <c r="AQ171" s="95">
        <v>0.78</v>
      </c>
      <c r="AT171" s="98">
        <v>62</v>
      </c>
      <c r="AU171" s="114">
        <v>0.56600000000000006</v>
      </c>
      <c r="AV171" s="112">
        <v>0.56600000000000006</v>
      </c>
      <c r="AW171" s="112">
        <v>0.53600000000000003</v>
      </c>
      <c r="AX171" s="112">
        <v>0.42399999999999999</v>
      </c>
      <c r="AY171" s="112">
        <v>0.42399999999999999</v>
      </c>
      <c r="AZ171" s="112">
        <v>0.42399999999999999</v>
      </c>
      <c r="BA171" s="112">
        <v>0.42</v>
      </c>
      <c r="BB171" s="115">
        <v>0.42</v>
      </c>
      <c r="BC171" s="98">
        <v>62</v>
      </c>
      <c r="BD171" s="93">
        <v>1.1339999999999999</v>
      </c>
      <c r="BE171" s="94">
        <v>1.0840000000000001</v>
      </c>
      <c r="BF171" s="94">
        <v>0.75</v>
      </c>
      <c r="BG171" s="94">
        <v>0.7</v>
      </c>
      <c r="BH171" s="94">
        <v>0.6</v>
      </c>
      <c r="BI171" s="94">
        <v>0.7</v>
      </c>
      <c r="BJ171" s="94">
        <v>0.75</v>
      </c>
      <c r="BK171" s="95">
        <v>0.75</v>
      </c>
      <c r="BL171" s="123">
        <v>62</v>
      </c>
      <c r="BM171" s="93">
        <v>8.5000000000000006E-3</v>
      </c>
      <c r="BN171" s="94">
        <v>9.0000000000000011E-3</v>
      </c>
      <c r="BO171" s="94">
        <v>0.01</v>
      </c>
      <c r="BP171" s="94">
        <v>0.01</v>
      </c>
      <c r="BQ171" s="94">
        <v>1.0999999999999999E-2</v>
      </c>
      <c r="BR171" s="94">
        <v>1.2700000000000001E-2</v>
      </c>
      <c r="BS171" s="94">
        <v>1.4E-2</v>
      </c>
      <c r="BT171" s="95">
        <v>1.4500000000000001E-2</v>
      </c>
      <c r="BU171" s="124">
        <v>62</v>
      </c>
      <c r="BV171" s="120">
        <v>9.0000000000000011E-3</v>
      </c>
      <c r="BW171" s="121">
        <v>9.0000000000000011E-3</v>
      </c>
      <c r="BX171" s="121">
        <v>9.0000000000000011E-3</v>
      </c>
      <c r="BY171" s="121">
        <v>9.0000000000000011E-3</v>
      </c>
      <c r="BZ171" s="121">
        <v>9.0000000000000011E-3</v>
      </c>
      <c r="CA171" s="121">
        <v>9.0000000000000011E-3</v>
      </c>
      <c r="CB171" s="121">
        <v>9.0000000000000011E-3</v>
      </c>
      <c r="CC171" s="122">
        <v>9.0000000000000011E-3</v>
      </c>
    </row>
    <row r="172" spans="1:81" ht="14.25">
      <c r="A172" s="413"/>
      <c r="B172" s="413"/>
      <c r="C172" s="414"/>
      <c r="D172" s="413"/>
      <c r="E172" s="414"/>
      <c r="F172" s="413"/>
      <c r="G172" s="414"/>
      <c r="H172" s="414"/>
      <c r="I172" s="415"/>
      <c r="J172" s="413"/>
      <c r="K172" s="415"/>
      <c r="L172" s="416"/>
      <c r="M172" s="414"/>
      <c r="R172" s="394">
        <f t="shared" si="39"/>
        <v>66.111111111111711</v>
      </c>
      <c r="AI172" s="98">
        <v>81</v>
      </c>
      <c r="AJ172" s="93">
        <v>0.78</v>
      </c>
      <c r="AK172" s="94">
        <v>0.78</v>
      </c>
      <c r="AL172" s="94">
        <v>0.78</v>
      </c>
      <c r="AM172" s="94">
        <v>0.78</v>
      </c>
      <c r="AN172" s="94">
        <v>0.78</v>
      </c>
      <c r="AO172" s="94">
        <v>0.78</v>
      </c>
      <c r="AP172" s="94">
        <v>0.78</v>
      </c>
      <c r="AQ172" s="95">
        <v>0.78</v>
      </c>
      <c r="AT172" s="98">
        <v>63</v>
      </c>
      <c r="AU172" s="114">
        <v>0.56900000000000006</v>
      </c>
      <c r="AV172" s="112">
        <v>0.56900000000000006</v>
      </c>
      <c r="AW172" s="112">
        <v>0.53900000000000003</v>
      </c>
      <c r="AX172" s="112">
        <v>0.42599999999999999</v>
      </c>
      <c r="AY172" s="112">
        <v>0.42599999999999999</v>
      </c>
      <c r="AZ172" s="112">
        <v>0.42599999999999999</v>
      </c>
      <c r="BA172" s="112">
        <v>0.42</v>
      </c>
      <c r="BB172" s="115">
        <v>0.42</v>
      </c>
      <c r="BC172" s="98">
        <v>63</v>
      </c>
      <c r="BD172" s="93">
        <v>1.141</v>
      </c>
      <c r="BE172" s="94">
        <v>1.091</v>
      </c>
      <c r="BF172" s="94">
        <v>0.75</v>
      </c>
      <c r="BG172" s="94">
        <v>0.7</v>
      </c>
      <c r="BH172" s="94">
        <v>0.6</v>
      </c>
      <c r="BI172" s="94">
        <v>0.7</v>
      </c>
      <c r="BJ172" s="94">
        <v>0.75</v>
      </c>
      <c r="BK172" s="95">
        <v>0.75</v>
      </c>
      <c r="BL172" s="123">
        <v>63</v>
      </c>
      <c r="BM172" s="93">
        <v>8.5000000000000006E-3</v>
      </c>
      <c r="BN172" s="94">
        <v>9.0000000000000011E-3</v>
      </c>
      <c r="BO172" s="94">
        <v>0.01</v>
      </c>
      <c r="BP172" s="94">
        <v>0.01</v>
      </c>
      <c r="BQ172" s="94">
        <v>1.0999999999999999E-2</v>
      </c>
      <c r="BR172" s="94">
        <v>1.2700000000000001E-2</v>
      </c>
      <c r="BS172" s="94">
        <v>1.4E-2</v>
      </c>
      <c r="BT172" s="95">
        <v>1.4500000000000001E-2</v>
      </c>
      <c r="BU172" s="124">
        <v>63</v>
      </c>
      <c r="BV172" s="120">
        <v>9.0000000000000011E-3</v>
      </c>
      <c r="BW172" s="121">
        <v>9.0000000000000011E-3</v>
      </c>
      <c r="BX172" s="121">
        <v>9.0000000000000011E-3</v>
      </c>
      <c r="BY172" s="121">
        <v>9.0000000000000011E-3</v>
      </c>
      <c r="BZ172" s="121">
        <v>9.0000000000000011E-3</v>
      </c>
      <c r="CA172" s="121">
        <v>9.0000000000000011E-3</v>
      </c>
      <c r="CB172" s="121">
        <v>9.0000000000000011E-3</v>
      </c>
      <c r="CC172" s="122">
        <v>9.0000000000000011E-3</v>
      </c>
    </row>
    <row r="173" spans="1:81" ht="14.25">
      <c r="A173" s="413"/>
      <c r="B173" s="413"/>
      <c r="C173" s="414"/>
      <c r="D173" s="413"/>
      <c r="E173" s="414"/>
      <c r="F173" s="413"/>
      <c r="G173" s="414"/>
      <c r="H173" s="414"/>
      <c r="I173" s="415"/>
      <c r="J173" s="413"/>
      <c r="K173" s="415"/>
      <c r="L173" s="416"/>
      <c r="M173" s="414"/>
      <c r="R173" s="394">
        <f t="shared" si="39"/>
        <v>66.500000000000597</v>
      </c>
      <c r="AI173" s="98">
        <v>82</v>
      </c>
      <c r="AJ173" s="93">
        <v>0.78</v>
      </c>
      <c r="AK173" s="94">
        <v>0.78</v>
      </c>
      <c r="AL173" s="94">
        <v>0.78</v>
      </c>
      <c r="AM173" s="94">
        <v>0.78</v>
      </c>
      <c r="AN173" s="94">
        <v>0.78</v>
      </c>
      <c r="AO173" s="94">
        <v>0.78</v>
      </c>
      <c r="AP173" s="94">
        <v>0.78</v>
      </c>
      <c r="AQ173" s="95">
        <v>0.78</v>
      </c>
      <c r="AT173" s="98">
        <v>64</v>
      </c>
      <c r="AU173" s="114">
        <v>0.57200000000000006</v>
      </c>
      <c r="AV173" s="112">
        <v>0.57200000000000006</v>
      </c>
      <c r="AW173" s="112">
        <v>0.54200000000000004</v>
      </c>
      <c r="AX173" s="112">
        <v>0.42799999999999999</v>
      </c>
      <c r="AY173" s="112">
        <v>0.42799999999999999</v>
      </c>
      <c r="AZ173" s="112">
        <v>0.42799999999999999</v>
      </c>
      <c r="BA173" s="112">
        <v>0.42</v>
      </c>
      <c r="BB173" s="115">
        <v>0.42</v>
      </c>
      <c r="BC173" s="98">
        <v>64</v>
      </c>
      <c r="BD173" s="93">
        <v>1.1479999999999999</v>
      </c>
      <c r="BE173" s="94">
        <v>1.0980000000000001</v>
      </c>
      <c r="BF173" s="94">
        <v>0.75</v>
      </c>
      <c r="BG173" s="94">
        <v>0.7</v>
      </c>
      <c r="BH173" s="94">
        <v>0.6</v>
      </c>
      <c r="BI173" s="94">
        <v>0.7</v>
      </c>
      <c r="BJ173" s="94">
        <v>0.75</v>
      </c>
      <c r="BK173" s="95">
        <v>0.75</v>
      </c>
      <c r="BL173" s="123">
        <v>64</v>
      </c>
      <c r="BM173" s="93">
        <v>8.5000000000000006E-3</v>
      </c>
      <c r="BN173" s="94">
        <v>9.0000000000000011E-3</v>
      </c>
      <c r="BO173" s="94">
        <v>0.01</v>
      </c>
      <c r="BP173" s="94">
        <v>0.01</v>
      </c>
      <c r="BQ173" s="94">
        <v>1.0999999999999999E-2</v>
      </c>
      <c r="BR173" s="94">
        <v>1.2700000000000001E-2</v>
      </c>
      <c r="BS173" s="94">
        <v>1.4E-2</v>
      </c>
      <c r="BT173" s="95">
        <v>1.4500000000000001E-2</v>
      </c>
      <c r="BU173" s="124">
        <v>64</v>
      </c>
      <c r="BV173" s="120">
        <v>9.0000000000000011E-3</v>
      </c>
      <c r="BW173" s="121">
        <v>9.0000000000000011E-3</v>
      </c>
      <c r="BX173" s="121">
        <v>9.0000000000000011E-3</v>
      </c>
      <c r="BY173" s="121">
        <v>9.0000000000000011E-3</v>
      </c>
      <c r="BZ173" s="121">
        <v>9.0000000000000011E-3</v>
      </c>
      <c r="CA173" s="121">
        <v>9.0000000000000011E-3</v>
      </c>
      <c r="CB173" s="121">
        <v>9.0000000000000011E-3</v>
      </c>
      <c r="CC173" s="122">
        <v>9.0000000000000011E-3</v>
      </c>
    </row>
    <row r="174" spans="1:81" ht="14.25">
      <c r="A174" s="413"/>
      <c r="B174" s="413"/>
      <c r="C174" s="414"/>
      <c r="D174" s="413"/>
      <c r="E174" s="414"/>
      <c r="F174" s="413"/>
      <c r="G174" s="414"/>
      <c r="H174" s="414"/>
      <c r="I174" s="415"/>
      <c r="J174" s="413"/>
      <c r="K174" s="415"/>
      <c r="L174" s="416"/>
      <c r="M174" s="414"/>
      <c r="R174" s="394">
        <f t="shared" si="39"/>
        <v>66.888888888889483</v>
      </c>
      <c r="AI174" s="98">
        <v>83</v>
      </c>
      <c r="AJ174" s="93">
        <v>0.78</v>
      </c>
      <c r="AK174" s="94">
        <v>0.78</v>
      </c>
      <c r="AL174" s="94">
        <v>0.78</v>
      </c>
      <c r="AM174" s="94">
        <v>0.78</v>
      </c>
      <c r="AN174" s="94">
        <v>0.78</v>
      </c>
      <c r="AO174" s="94">
        <v>0.78</v>
      </c>
      <c r="AP174" s="94">
        <v>0.78</v>
      </c>
      <c r="AQ174" s="95">
        <v>0.78</v>
      </c>
      <c r="AT174" s="98">
        <v>65</v>
      </c>
      <c r="AU174" s="114">
        <v>0.57499999999999996</v>
      </c>
      <c r="AV174" s="112">
        <v>0.57499999999999996</v>
      </c>
      <c r="AW174" s="112">
        <v>0.54500000000000004</v>
      </c>
      <c r="AX174" s="112">
        <v>0.43</v>
      </c>
      <c r="AY174" s="112">
        <v>0.43</v>
      </c>
      <c r="AZ174" s="112">
        <v>0.43</v>
      </c>
      <c r="BA174" s="112">
        <v>0.42</v>
      </c>
      <c r="BB174" s="115">
        <v>0.42</v>
      </c>
      <c r="BC174" s="98">
        <v>65</v>
      </c>
      <c r="BD174" s="93">
        <v>1.155</v>
      </c>
      <c r="BE174" s="94">
        <v>1.105</v>
      </c>
      <c r="BF174" s="94">
        <v>0.75</v>
      </c>
      <c r="BG174" s="94">
        <v>0.7</v>
      </c>
      <c r="BH174" s="94">
        <v>0.6</v>
      </c>
      <c r="BI174" s="94">
        <v>0.7</v>
      </c>
      <c r="BJ174" s="94">
        <v>0.75</v>
      </c>
      <c r="BK174" s="95">
        <v>0.75</v>
      </c>
      <c r="BL174" s="123">
        <v>65</v>
      </c>
      <c r="BM174" s="93">
        <v>8.5000000000000006E-3</v>
      </c>
      <c r="BN174" s="94">
        <v>9.0000000000000011E-3</v>
      </c>
      <c r="BO174" s="94">
        <v>0.01</v>
      </c>
      <c r="BP174" s="94">
        <v>0.01</v>
      </c>
      <c r="BQ174" s="94">
        <v>1.0999999999999999E-2</v>
      </c>
      <c r="BR174" s="94">
        <v>1.2700000000000001E-2</v>
      </c>
      <c r="BS174" s="94">
        <v>1.4E-2</v>
      </c>
      <c r="BT174" s="95">
        <v>1.4500000000000001E-2</v>
      </c>
      <c r="BU174" s="124">
        <v>65</v>
      </c>
      <c r="BV174" s="120">
        <v>9.0000000000000011E-3</v>
      </c>
      <c r="BW174" s="121">
        <v>9.0000000000000011E-3</v>
      </c>
      <c r="BX174" s="121">
        <v>9.0000000000000011E-3</v>
      </c>
      <c r="BY174" s="121">
        <v>9.0000000000000011E-3</v>
      </c>
      <c r="BZ174" s="121">
        <v>9.0000000000000011E-3</v>
      </c>
      <c r="CA174" s="121">
        <v>9.0000000000000011E-3</v>
      </c>
      <c r="CB174" s="121">
        <v>9.0000000000000011E-3</v>
      </c>
      <c r="CC174" s="122">
        <v>9.0000000000000011E-3</v>
      </c>
    </row>
    <row r="175" spans="1:81" ht="14.25">
      <c r="A175" s="413"/>
      <c r="B175" s="413"/>
      <c r="C175" s="414"/>
      <c r="D175" s="413"/>
      <c r="E175" s="414"/>
      <c r="F175" s="413"/>
      <c r="G175" s="414"/>
      <c r="H175" s="414"/>
      <c r="I175" s="415"/>
      <c r="J175" s="413"/>
      <c r="K175" s="415"/>
      <c r="L175" s="416"/>
      <c r="M175" s="414"/>
      <c r="R175" s="394">
        <f t="shared" si="39"/>
        <v>67.277777777778368</v>
      </c>
      <c r="AI175" s="98">
        <v>84</v>
      </c>
      <c r="AJ175" s="93">
        <v>0.78</v>
      </c>
      <c r="AK175" s="94">
        <v>0.78</v>
      </c>
      <c r="AL175" s="94">
        <v>0.78</v>
      </c>
      <c r="AM175" s="94">
        <v>0.78</v>
      </c>
      <c r="AN175" s="94">
        <v>0.78</v>
      </c>
      <c r="AO175" s="94">
        <v>0.78</v>
      </c>
      <c r="AP175" s="94">
        <v>0.78</v>
      </c>
      <c r="AQ175" s="95">
        <v>0.78</v>
      </c>
      <c r="AT175" s="98">
        <v>66</v>
      </c>
      <c r="AU175" s="114">
        <v>0.57799999999999996</v>
      </c>
      <c r="AV175" s="112">
        <v>0.57799999999999996</v>
      </c>
      <c r="AW175" s="112">
        <v>0.54800000000000004</v>
      </c>
      <c r="AX175" s="112">
        <v>0.432</v>
      </c>
      <c r="AY175" s="112">
        <v>0.432</v>
      </c>
      <c r="AZ175" s="112">
        <v>0.432</v>
      </c>
      <c r="BA175" s="112">
        <v>0.42</v>
      </c>
      <c r="BB175" s="115">
        <v>0.42</v>
      </c>
      <c r="BC175" s="98">
        <v>66</v>
      </c>
      <c r="BD175" s="93">
        <v>1.1619999999999999</v>
      </c>
      <c r="BE175" s="94">
        <v>1.1120000000000001</v>
      </c>
      <c r="BF175" s="94">
        <v>0.75</v>
      </c>
      <c r="BG175" s="94">
        <v>0.7</v>
      </c>
      <c r="BH175" s="94">
        <v>0.6</v>
      </c>
      <c r="BI175" s="94">
        <v>0.7</v>
      </c>
      <c r="BJ175" s="94">
        <v>0.75</v>
      </c>
      <c r="BK175" s="95">
        <v>0.75</v>
      </c>
      <c r="BL175" s="123">
        <v>66</v>
      </c>
      <c r="BM175" s="93">
        <v>8.5000000000000006E-3</v>
      </c>
      <c r="BN175" s="94">
        <v>9.0000000000000011E-3</v>
      </c>
      <c r="BO175" s="94">
        <v>0.01</v>
      </c>
      <c r="BP175" s="94">
        <v>0.01</v>
      </c>
      <c r="BQ175" s="94">
        <v>1.0999999999999999E-2</v>
      </c>
      <c r="BR175" s="94">
        <v>1.2700000000000001E-2</v>
      </c>
      <c r="BS175" s="94">
        <v>1.4E-2</v>
      </c>
      <c r="BT175" s="95">
        <v>1.4500000000000001E-2</v>
      </c>
      <c r="BU175" s="124">
        <v>66</v>
      </c>
      <c r="BV175" s="120">
        <v>9.0000000000000011E-3</v>
      </c>
      <c r="BW175" s="121">
        <v>9.0000000000000011E-3</v>
      </c>
      <c r="BX175" s="121">
        <v>9.0000000000000011E-3</v>
      </c>
      <c r="BY175" s="121">
        <v>9.0000000000000011E-3</v>
      </c>
      <c r="BZ175" s="121">
        <v>9.0000000000000011E-3</v>
      </c>
      <c r="CA175" s="121">
        <v>9.0000000000000011E-3</v>
      </c>
      <c r="CB175" s="121">
        <v>9.0000000000000011E-3</v>
      </c>
      <c r="CC175" s="122">
        <v>9.0000000000000011E-3</v>
      </c>
    </row>
    <row r="176" spans="1:81" ht="14.25">
      <c r="A176" s="413"/>
      <c r="B176" s="413"/>
      <c r="C176" s="414"/>
      <c r="D176" s="413"/>
      <c r="E176" s="414"/>
      <c r="F176" s="413"/>
      <c r="G176" s="414"/>
      <c r="H176" s="414"/>
      <c r="I176" s="415"/>
      <c r="J176" s="413"/>
      <c r="K176" s="415"/>
      <c r="L176" s="416"/>
      <c r="M176" s="414"/>
      <c r="R176" s="394">
        <f t="shared" si="39"/>
        <v>67.666666666667254</v>
      </c>
      <c r="AI176" s="98">
        <v>85</v>
      </c>
      <c r="AJ176" s="93">
        <v>0.78</v>
      </c>
      <c r="AK176" s="94">
        <v>0.78</v>
      </c>
      <c r="AL176" s="94">
        <v>0.78</v>
      </c>
      <c r="AM176" s="94">
        <v>0.78</v>
      </c>
      <c r="AN176" s="94">
        <v>0.78</v>
      </c>
      <c r="AO176" s="94">
        <v>0.78</v>
      </c>
      <c r="AP176" s="94">
        <v>0.78</v>
      </c>
      <c r="AQ176" s="95">
        <v>0.78</v>
      </c>
      <c r="AT176" s="98">
        <v>67</v>
      </c>
      <c r="AU176" s="114">
        <v>0.58099999999999996</v>
      </c>
      <c r="AV176" s="112">
        <v>0.58099999999999996</v>
      </c>
      <c r="AW176" s="112">
        <v>0.55100000000000005</v>
      </c>
      <c r="AX176" s="112">
        <v>0.434</v>
      </c>
      <c r="AY176" s="112">
        <v>0.434</v>
      </c>
      <c r="AZ176" s="112">
        <v>0.434</v>
      </c>
      <c r="BA176" s="112">
        <v>0.42</v>
      </c>
      <c r="BB176" s="115">
        <v>0.42</v>
      </c>
      <c r="BC176" s="98">
        <v>67</v>
      </c>
      <c r="BD176" s="93">
        <v>1.169</v>
      </c>
      <c r="BE176" s="94">
        <v>1.119</v>
      </c>
      <c r="BF176" s="94">
        <v>0.75</v>
      </c>
      <c r="BG176" s="94">
        <v>0.7</v>
      </c>
      <c r="BH176" s="94">
        <v>0.6</v>
      </c>
      <c r="BI176" s="94">
        <v>0.7</v>
      </c>
      <c r="BJ176" s="94">
        <v>0.75</v>
      </c>
      <c r="BK176" s="95">
        <v>0.75</v>
      </c>
      <c r="BL176" s="123">
        <v>67</v>
      </c>
      <c r="BM176" s="93">
        <v>8.5000000000000006E-3</v>
      </c>
      <c r="BN176" s="94">
        <v>9.0000000000000011E-3</v>
      </c>
      <c r="BO176" s="94">
        <v>0.01</v>
      </c>
      <c r="BP176" s="94">
        <v>0.01</v>
      </c>
      <c r="BQ176" s="94">
        <v>1.0999999999999999E-2</v>
      </c>
      <c r="BR176" s="94">
        <v>1.2700000000000001E-2</v>
      </c>
      <c r="BS176" s="94">
        <v>1.4E-2</v>
      </c>
      <c r="BT176" s="95">
        <v>1.4500000000000001E-2</v>
      </c>
      <c r="BU176" s="124">
        <v>67</v>
      </c>
      <c r="BV176" s="120">
        <v>9.0000000000000011E-3</v>
      </c>
      <c r="BW176" s="121">
        <v>9.0000000000000011E-3</v>
      </c>
      <c r="BX176" s="121">
        <v>9.0000000000000011E-3</v>
      </c>
      <c r="BY176" s="121">
        <v>9.0000000000000011E-3</v>
      </c>
      <c r="BZ176" s="121">
        <v>9.0000000000000011E-3</v>
      </c>
      <c r="CA176" s="121">
        <v>9.0000000000000011E-3</v>
      </c>
      <c r="CB176" s="121">
        <v>9.0000000000000011E-3</v>
      </c>
      <c r="CC176" s="122">
        <v>9.0000000000000011E-3</v>
      </c>
    </row>
    <row r="177" spans="1:81" ht="14.25">
      <c r="A177" s="413"/>
      <c r="B177" s="413"/>
      <c r="C177" s="414"/>
      <c r="D177" s="413"/>
      <c r="E177" s="414"/>
      <c r="F177" s="413"/>
      <c r="G177" s="414"/>
      <c r="H177" s="414"/>
      <c r="I177" s="415"/>
      <c r="J177" s="413"/>
      <c r="K177" s="415"/>
      <c r="L177" s="416"/>
      <c r="M177" s="414"/>
      <c r="R177" s="394">
        <f t="shared" si="39"/>
        <v>68.05555555555614</v>
      </c>
      <c r="AI177" s="98">
        <v>86</v>
      </c>
      <c r="AJ177" s="93">
        <v>0.78</v>
      </c>
      <c r="AK177" s="94">
        <v>0.78</v>
      </c>
      <c r="AL177" s="94">
        <v>0.78</v>
      </c>
      <c r="AM177" s="94">
        <v>0.78</v>
      </c>
      <c r="AN177" s="94">
        <v>0.78</v>
      </c>
      <c r="AO177" s="94">
        <v>0.78</v>
      </c>
      <c r="AP177" s="94">
        <v>0.78</v>
      </c>
      <c r="AQ177" s="95">
        <v>0.78</v>
      </c>
      <c r="AT177" s="98">
        <v>68</v>
      </c>
      <c r="AU177" s="114">
        <v>0.58399999999999996</v>
      </c>
      <c r="AV177" s="112">
        <v>0.58399999999999996</v>
      </c>
      <c r="AW177" s="112">
        <v>0.55400000000000005</v>
      </c>
      <c r="AX177" s="112">
        <v>0.436</v>
      </c>
      <c r="AY177" s="112">
        <v>0.436</v>
      </c>
      <c r="AZ177" s="112">
        <v>0.436</v>
      </c>
      <c r="BA177" s="112">
        <v>0.42</v>
      </c>
      <c r="BB177" s="115">
        <v>0.42</v>
      </c>
      <c r="BC177" s="98">
        <v>68</v>
      </c>
      <c r="BD177" s="93">
        <v>1.1759999999999999</v>
      </c>
      <c r="BE177" s="94">
        <v>1.1259999999999999</v>
      </c>
      <c r="BF177" s="94">
        <v>0.75</v>
      </c>
      <c r="BG177" s="94">
        <v>0.7</v>
      </c>
      <c r="BH177" s="94">
        <v>0.6</v>
      </c>
      <c r="BI177" s="94">
        <v>0.7</v>
      </c>
      <c r="BJ177" s="94">
        <v>0.75</v>
      </c>
      <c r="BK177" s="95">
        <v>0.75</v>
      </c>
      <c r="BL177" s="123">
        <v>68</v>
      </c>
      <c r="BM177" s="93">
        <v>8.5000000000000006E-3</v>
      </c>
      <c r="BN177" s="94">
        <v>9.0000000000000011E-3</v>
      </c>
      <c r="BO177" s="94">
        <v>0.01</v>
      </c>
      <c r="BP177" s="94">
        <v>0.01</v>
      </c>
      <c r="BQ177" s="94">
        <v>1.0999999999999999E-2</v>
      </c>
      <c r="BR177" s="94">
        <v>1.2700000000000001E-2</v>
      </c>
      <c r="BS177" s="94">
        <v>1.4E-2</v>
      </c>
      <c r="BT177" s="95">
        <v>1.4500000000000001E-2</v>
      </c>
      <c r="BU177" s="124">
        <v>68</v>
      </c>
      <c r="BV177" s="120">
        <v>9.0000000000000011E-3</v>
      </c>
      <c r="BW177" s="121">
        <v>9.0000000000000011E-3</v>
      </c>
      <c r="BX177" s="121">
        <v>9.0000000000000011E-3</v>
      </c>
      <c r="BY177" s="121">
        <v>9.0000000000000011E-3</v>
      </c>
      <c r="BZ177" s="121">
        <v>9.0000000000000011E-3</v>
      </c>
      <c r="CA177" s="121">
        <v>9.0000000000000011E-3</v>
      </c>
      <c r="CB177" s="121">
        <v>9.0000000000000011E-3</v>
      </c>
      <c r="CC177" s="122">
        <v>9.0000000000000011E-3</v>
      </c>
    </row>
    <row r="178" spans="1:81" ht="14.25">
      <c r="A178" s="413"/>
      <c r="B178" s="413"/>
      <c r="C178" s="414"/>
      <c r="D178" s="413"/>
      <c r="E178" s="414"/>
      <c r="F178" s="413"/>
      <c r="G178" s="414"/>
      <c r="H178" s="414"/>
      <c r="I178" s="415"/>
      <c r="J178" s="413"/>
      <c r="K178" s="415"/>
      <c r="L178" s="416"/>
      <c r="M178" s="414"/>
      <c r="R178" s="394">
        <f t="shared" si="39"/>
        <v>68.444444444445026</v>
      </c>
      <c r="AI178" s="98">
        <v>87</v>
      </c>
      <c r="AJ178" s="93">
        <v>0.78</v>
      </c>
      <c r="AK178" s="94">
        <v>0.78</v>
      </c>
      <c r="AL178" s="94">
        <v>0.78</v>
      </c>
      <c r="AM178" s="94">
        <v>0.78</v>
      </c>
      <c r="AN178" s="94">
        <v>0.78</v>
      </c>
      <c r="AO178" s="94">
        <v>0.78</v>
      </c>
      <c r="AP178" s="94">
        <v>0.78</v>
      </c>
      <c r="AQ178" s="95">
        <v>0.78</v>
      </c>
      <c r="AT178" s="98">
        <v>69</v>
      </c>
      <c r="AU178" s="114">
        <v>0.58699999999999997</v>
      </c>
      <c r="AV178" s="112">
        <v>0.58699999999999997</v>
      </c>
      <c r="AW178" s="112">
        <v>0.55700000000000005</v>
      </c>
      <c r="AX178" s="112">
        <v>0.438</v>
      </c>
      <c r="AY178" s="112">
        <v>0.438</v>
      </c>
      <c r="AZ178" s="112">
        <v>0.438</v>
      </c>
      <c r="BA178" s="112">
        <v>0.42</v>
      </c>
      <c r="BB178" s="115">
        <v>0.42</v>
      </c>
      <c r="BC178" s="98">
        <v>69</v>
      </c>
      <c r="BD178" s="93">
        <v>1.1830000000000001</v>
      </c>
      <c r="BE178" s="94">
        <v>1.133</v>
      </c>
      <c r="BF178" s="94">
        <v>0.75</v>
      </c>
      <c r="BG178" s="94">
        <v>0.7</v>
      </c>
      <c r="BH178" s="94">
        <v>0.6</v>
      </c>
      <c r="BI178" s="94">
        <v>0.7</v>
      </c>
      <c r="BJ178" s="94">
        <v>0.75</v>
      </c>
      <c r="BK178" s="95">
        <v>0.75</v>
      </c>
      <c r="BL178" s="123">
        <v>69</v>
      </c>
      <c r="BM178" s="93">
        <v>8.5000000000000006E-3</v>
      </c>
      <c r="BN178" s="94">
        <v>9.0000000000000011E-3</v>
      </c>
      <c r="BO178" s="94">
        <v>0.01</v>
      </c>
      <c r="BP178" s="94">
        <v>0.01</v>
      </c>
      <c r="BQ178" s="94">
        <v>1.0999999999999999E-2</v>
      </c>
      <c r="BR178" s="94">
        <v>1.2700000000000001E-2</v>
      </c>
      <c r="BS178" s="94">
        <v>1.4E-2</v>
      </c>
      <c r="BT178" s="95">
        <v>1.4500000000000001E-2</v>
      </c>
      <c r="BU178" s="124">
        <v>69</v>
      </c>
      <c r="BV178" s="120">
        <v>9.0000000000000011E-3</v>
      </c>
      <c r="BW178" s="121">
        <v>9.0000000000000011E-3</v>
      </c>
      <c r="BX178" s="121">
        <v>9.0000000000000011E-3</v>
      </c>
      <c r="BY178" s="121">
        <v>9.0000000000000011E-3</v>
      </c>
      <c r="BZ178" s="121">
        <v>9.0000000000000011E-3</v>
      </c>
      <c r="CA178" s="121">
        <v>9.0000000000000011E-3</v>
      </c>
      <c r="CB178" s="121">
        <v>9.0000000000000011E-3</v>
      </c>
      <c r="CC178" s="122">
        <v>9.0000000000000011E-3</v>
      </c>
    </row>
    <row r="179" spans="1:81" ht="14.25">
      <c r="A179" s="413"/>
      <c r="B179" s="413"/>
      <c r="C179" s="414"/>
      <c r="D179" s="413"/>
      <c r="E179" s="414"/>
      <c r="F179" s="413"/>
      <c r="G179" s="414"/>
      <c r="H179" s="414"/>
      <c r="I179" s="415"/>
      <c r="J179" s="413"/>
      <c r="K179" s="415"/>
      <c r="L179" s="416"/>
      <c r="M179" s="414"/>
      <c r="R179" s="394">
        <f t="shared" si="39"/>
        <v>68.833333333333911</v>
      </c>
      <c r="AI179" s="98">
        <v>88</v>
      </c>
      <c r="AJ179" s="93">
        <v>0.78</v>
      </c>
      <c r="AK179" s="94">
        <v>0.78</v>
      </c>
      <c r="AL179" s="94">
        <v>0.78</v>
      </c>
      <c r="AM179" s="94">
        <v>0.78</v>
      </c>
      <c r="AN179" s="94">
        <v>0.78</v>
      </c>
      <c r="AO179" s="94">
        <v>0.78</v>
      </c>
      <c r="AP179" s="94">
        <v>0.78</v>
      </c>
      <c r="AQ179" s="95">
        <v>0.78</v>
      </c>
      <c r="AT179" s="98">
        <v>70</v>
      </c>
      <c r="AU179" s="114"/>
      <c r="AV179" s="112"/>
      <c r="AW179" s="112"/>
      <c r="AX179" s="112"/>
      <c r="AY179" s="112"/>
      <c r="AZ179" s="112"/>
      <c r="BA179" s="112"/>
      <c r="BB179" s="115"/>
      <c r="BC179" s="98">
        <v>70</v>
      </c>
      <c r="BD179" s="93"/>
      <c r="BE179" s="94"/>
      <c r="BF179" s="94"/>
      <c r="BG179" s="94"/>
      <c r="BH179" s="94"/>
      <c r="BI179" s="94"/>
      <c r="BJ179" s="94"/>
      <c r="BK179" s="95"/>
      <c r="BL179" s="123">
        <v>70</v>
      </c>
      <c r="BM179" s="93">
        <v>8.5000000000000006E-3</v>
      </c>
      <c r="BN179" s="94">
        <v>9.0000000000000011E-3</v>
      </c>
      <c r="BO179" s="94">
        <v>0.01</v>
      </c>
      <c r="BP179" s="94">
        <v>0.01</v>
      </c>
      <c r="BQ179" s="94">
        <v>1.0999999999999999E-2</v>
      </c>
      <c r="BR179" s="94">
        <v>1.2700000000000001E-2</v>
      </c>
      <c r="BS179" s="94">
        <v>1.4E-2</v>
      </c>
      <c r="BT179" s="95">
        <v>1.4500000000000001E-2</v>
      </c>
      <c r="BU179" s="124">
        <v>70</v>
      </c>
      <c r="BV179" s="120">
        <v>9.0000000000000011E-3</v>
      </c>
      <c r="BW179" s="121">
        <v>9.0000000000000011E-3</v>
      </c>
      <c r="BX179" s="121">
        <v>9.0000000000000011E-3</v>
      </c>
      <c r="BY179" s="121">
        <v>9.0000000000000011E-3</v>
      </c>
      <c r="BZ179" s="121">
        <v>9.0000000000000011E-3</v>
      </c>
      <c r="CA179" s="121">
        <v>9.0000000000000011E-3</v>
      </c>
      <c r="CB179" s="121">
        <v>9.0000000000000011E-3</v>
      </c>
      <c r="CC179" s="122">
        <v>9.0000000000000011E-3</v>
      </c>
    </row>
    <row r="180" spans="1:81" ht="15" thickBot="1">
      <c r="A180" s="413"/>
      <c r="B180" s="413"/>
      <c r="C180" s="414"/>
      <c r="D180" s="413"/>
      <c r="E180" s="414"/>
      <c r="F180" s="413"/>
      <c r="G180" s="414"/>
      <c r="H180" s="414"/>
      <c r="I180" s="415"/>
      <c r="J180" s="413"/>
      <c r="K180" s="415"/>
      <c r="L180" s="416"/>
      <c r="M180" s="414"/>
      <c r="R180" s="394">
        <f t="shared" si="39"/>
        <v>69.222222222222797</v>
      </c>
      <c r="AJ180" s="93" t="s">
        <v>156</v>
      </c>
      <c r="AK180" s="94" t="s">
        <v>157</v>
      </c>
      <c r="AL180" s="94" t="s">
        <v>158</v>
      </c>
      <c r="AM180" s="94" t="s">
        <v>159</v>
      </c>
      <c r="AN180" s="94" t="s">
        <v>160</v>
      </c>
      <c r="AO180" s="94" t="s">
        <v>161</v>
      </c>
      <c r="AP180" s="94" t="s">
        <v>162</v>
      </c>
      <c r="AQ180" s="95" t="s">
        <v>163</v>
      </c>
      <c r="AT180" s="98">
        <v>71</v>
      </c>
      <c r="AU180" s="114"/>
      <c r="AV180" s="112"/>
      <c r="AW180" s="112"/>
      <c r="AX180" s="112"/>
      <c r="AY180" s="112"/>
      <c r="AZ180" s="112"/>
      <c r="BA180" s="112"/>
      <c r="BB180" s="115"/>
      <c r="BC180" s="98">
        <v>71</v>
      </c>
      <c r="BD180" s="93"/>
      <c r="BE180" s="94"/>
      <c r="BF180" s="94"/>
      <c r="BG180" s="94"/>
      <c r="BH180" s="94"/>
      <c r="BI180" s="94"/>
      <c r="BJ180" s="94"/>
      <c r="BK180" s="95"/>
      <c r="BL180" s="148">
        <v>71</v>
      </c>
      <c r="BM180" s="93">
        <v>8.5000000000000006E-3</v>
      </c>
      <c r="BN180" s="94">
        <v>9.0000000000000011E-3</v>
      </c>
      <c r="BO180" s="94">
        <v>0.01</v>
      </c>
      <c r="BP180" s="94">
        <v>0.01</v>
      </c>
      <c r="BQ180" s="94">
        <v>1.0999999999999999E-2</v>
      </c>
      <c r="BR180" s="94">
        <v>1.2700000000000001E-2</v>
      </c>
      <c r="BS180" s="94">
        <v>1.4E-2</v>
      </c>
      <c r="BT180" s="95">
        <v>1.4500000000000001E-2</v>
      </c>
      <c r="BU180" s="124">
        <v>71</v>
      </c>
      <c r="BV180" s="120">
        <v>9.0000000000000011E-3</v>
      </c>
      <c r="BW180" s="121">
        <v>9.0000000000000011E-3</v>
      </c>
      <c r="BX180" s="121">
        <v>9.0000000000000011E-3</v>
      </c>
      <c r="BY180" s="121">
        <v>9.0000000000000011E-3</v>
      </c>
      <c r="BZ180" s="121">
        <v>9.0000000000000011E-3</v>
      </c>
      <c r="CA180" s="121">
        <v>9.0000000000000011E-3</v>
      </c>
      <c r="CB180" s="121">
        <v>9.0000000000000011E-3</v>
      </c>
      <c r="CC180" s="122">
        <v>9.0000000000000011E-3</v>
      </c>
    </row>
    <row r="181" spans="1:81" ht="15" thickBot="1">
      <c r="A181" s="413"/>
      <c r="B181" s="413"/>
      <c r="C181" s="414"/>
      <c r="D181" s="413"/>
      <c r="E181" s="414"/>
      <c r="F181" s="413"/>
      <c r="G181" s="414"/>
      <c r="H181" s="414"/>
      <c r="I181" s="415"/>
      <c r="J181" s="413"/>
      <c r="K181" s="415"/>
      <c r="L181" s="416"/>
      <c r="M181" s="414"/>
      <c r="R181" s="394">
        <f t="shared" si="39"/>
        <v>69.611111111111683</v>
      </c>
      <c r="AJ181" s="993" t="s">
        <v>147</v>
      </c>
      <c r="AK181" s="993"/>
      <c r="AL181" s="993"/>
      <c r="AM181" s="993"/>
      <c r="AN181" s="993"/>
      <c r="AO181" s="993"/>
      <c r="AP181" s="993"/>
      <c r="AQ181" s="993"/>
      <c r="AT181" s="98">
        <v>72</v>
      </c>
      <c r="AU181" s="114"/>
      <c r="AV181" s="112"/>
      <c r="AW181" s="112"/>
      <c r="AX181" s="112"/>
      <c r="AY181" s="112"/>
      <c r="AZ181" s="112"/>
      <c r="BA181" s="112"/>
      <c r="BB181" s="115"/>
      <c r="BC181" s="98">
        <v>72</v>
      </c>
      <c r="BD181" s="93"/>
      <c r="BE181" s="94"/>
      <c r="BF181" s="94"/>
      <c r="BG181" s="94"/>
      <c r="BH181" s="94"/>
      <c r="BI181" s="94"/>
      <c r="BJ181" s="94"/>
      <c r="BK181" s="95"/>
      <c r="BM181" s="93" t="s">
        <v>156</v>
      </c>
      <c r="BN181" s="94" t="s">
        <v>157</v>
      </c>
      <c r="BO181" s="94" t="s">
        <v>158</v>
      </c>
      <c r="BP181" s="94" t="s">
        <v>159</v>
      </c>
      <c r="BQ181" s="94" t="s">
        <v>160</v>
      </c>
      <c r="BR181" s="94" t="s">
        <v>161</v>
      </c>
      <c r="BS181" s="94" t="s">
        <v>162</v>
      </c>
      <c r="BT181" s="95" t="s">
        <v>163</v>
      </c>
      <c r="BU181" s="124">
        <v>72</v>
      </c>
      <c r="BV181" s="120">
        <v>9.0000000000000011E-3</v>
      </c>
      <c r="BW181" s="121">
        <v>9.0000000000000011E-3</v>
      </c>
      <c r="BX181" s="121">
        <v>9.0000000000000011E-3</v>
      </c>
      <c r="BY181" s="121">
        <v>9.0000000000000011E-3</v>
      </c>
      <c r="BZ181" s="121">
        <v>9.0000000000000011E-3</v>
      </c>
      <c r="CA181" s="121">
        <v>9.0000000000000011E-3</v>
      </c>
      <c r="CB181" s="121">
        <v>9.0000000000000011E-3</v>
      </c>
      <c r="CC181" s="122">
        <v>9.0000000000000011E-3</v>
      </c>
    </row>
    <row r="182" spans="1:81" ht="15" thickBot="1">
      <c r="A182" s="413"/>
      <c r="B182" s="413"/>
      <c r="C182" s="414"/>
      <c r="D182" s="413"/>
      <c r="E182" s="414"/>
      <c r="F182" s="413"/>
      <c r="G182" s="414"/>
      <c r="H182" s="414"/>
      <c r="I182" s="415"/>
      <c r="J182" s="413"/>
      <c r="K182" s="415"/>
      <c r="L182" s="416"/>
      <c r="M182" s="414"/>
      <c r="R182" s="394">
        <f t="shared" si="39"/>
        <v>70.000000000000568</v>
      </c>
      <c r="AJ182" s="149"/>
      <c r="AK182" s="149"/>
      <c r="AL182" s="149"/>
      <c r="AM182" s="149"/>
      <c r="AN182" s="149"/>
      <c r="AO182" s="149"/>
      <c r="AP182" s="149"/>
      <c r="AQ182" s="149"/>
      <c r="AT182" s="98">
        <v>73</v>
      </c>
      <c r="AU182" s="114"/>
      <c r="AV182" s="112"/>
      <c r="AW182" s="112"/>
      <c r="AX182" s="112"/>
      <c r="AY182" s="112"/>
      <c r="AZ182" s="112"/>
      <c r="BA182" s="112"/>
      <c r="BB182" s="115"/>
      <c r="BC182" s="98">
        <v>73</v>
      </c>
      <c r="BD182" s="93"/>
      <c r="BE182" s="94"/>
      <c r="BF182" s="94"/>
      <c r="BG182" s="94"/>
      <c r="BH182" s="94"/>
      <c r="BI182" s="94"/>
      <c r="BJ182" s="94"/>
      <c r="BK182" s="95"/>
      <c r="BM182" s="994" t="s">
        <v>147</v>
      </c>
      <c r="BN182" s="994"/>
      <c r="BO182" s="994"/>
      <c r="BP182" s="994"/>
      <c r="BQ182" s="994"/>
      <c r="BR182" s="994"/>
      <c r="BS182" s="994"/>
      <c r="BT182" s="994"/>
      <c r="BU182" s="124">
        <v>73</v>
      </c>
      <c r="BV182" s="120">
        <v>9.0000000000000011E-3</v>
      </c>
      <c r="BW182" s="121">
        <v>9.0000000000000011E-3</v>
      </c>
      <c r="BX182" s="121">
        <v>9.0000000000000011E-3</v>
      </c>
      <c r="BY182" s="121">
        <v>9.0000000000000011E-3</v>
      </c>
      <c r="BZ182" s="121">
        <v>9.0000000000000011E-3</v>
      </c>
      <c r="CA182" s="121">
        <v>9.0000000000000011E-3</v>
      </c>
      <c r="CB182" s="121">
        <v>9.0000000000000011E-3</v>
      </c>
      <c r="CC182" s="122">
        <v>9.0000000000000011E-3</v>
      </c>
    </row>
    <row r="183" spans="1:81" ht="15" thickBot="1">
      <c r="A183" s="413"/>
      <c r="B183" s="413"/>
      <c r="C183" s="414"/>
      <c r="D183" s="413"/>
      <c r="E183" s="414"/>
      <c r="F183" s="413"/>
      <c r="G183" s="414"/>
      <c r="H183" s="414"/>
      <c r="I183" s="415"/>
      <c r="J183" s="413"/>
      <c r="K183" s="415"/>
      <c r="L183" s="416"/>
      <c r="M183" s="414"/>
      <c r="R183" s="394">
        <f t="shared" si="39"/>
        <v>70.388888888889454</v>
      </c>
      <c r="AJ183" s="135">
        <f>VLOOKUP((ROUND(AA18,0)),$AI$3:$AQ$179,AJ186,0)</f>
        <v>1.1000000000000001</v>
      </c>
      <c r="AK183" s="135">
        <f t="shared" ref="AK183:AQ183" si="40">VLOOKUP((ROUND(AB18,0)),$AI$3:$AQ$179,AK186,0)</f>
        <v>1.1000000000000001</v>
      </c>
      <c r="AL183" s="135">
        <f t="shared" si="40"/>
        <v>1.1000000000000001</v>
      </c>
      <c r="AM183" s="135">
        <f t="shared" si="40"/>
        <v>1.1000000000000001</v>
      </c>
      <c r="AN183" s="135" t="e">
        <f t="shared" si="40"/>
        <v>#N/A</v>
      </c>
      <c r="AO183" s="135" t="e">
        <f t="shared" si="40"/>
        <v>#N/A</v>
      </c>
      <c r="AP183" s="135" t="e">
        <f t="shared" si="40"/>
        <v>#N/A</v>
      </c>
      <c r="AQ183" s="135" t="e">
        <f t="shared" si="40"/>
        <v>#N/A</v>
      </c>
      <c r="AT183" s="98">
        <v>74</v>
      </c>
      <c r="AU183" s="114"/>
      <c r="AV183" s="112"/>
      <c r="AW183" s="112"/>
      <c r="AX183" s="112"/>
      <c r="AY183" s="112"/>
      <c r="AZ183" s="112"/>
      <c r="BA183" s="112"/>
      <c r="BB183" s="115"/>
      <c r="BC183" s="98">
        <v>74</v>
      </c>
      <c r="BD183" s="93"/>
      <c r="BE183" s="94"/>
      <c r="BF183" s="94"/>
      <c r="BG183" s="94"/>
      <c r="BH183" s="94"/>
      <c r="BI183" s="94"/>
      <c r="BJ183" s="94"/>
      <c r="BK183" s="95"/>
      <c r="BM183" s="149"/>
      <c r="BN183" s="149"/>
      <c r="BO183" s="149"/>
      <c r="BP183" s="149"/>
      <c r="BQ183" s="149"/>
      <c r="BR183" s="149"/>
      <c r="BS183" s="149"/>
      <c r="BT183" s="149"/>
      <c r="BU183" s="124">
        <v>74</v>
      </c>
      <c r="BV183" s="120">
        <v>9.0000000000000011E-3</v>
      </c>
      <c r="BW183" s="121">
        <v>9.0000000000000011E-3</v>
      </c>
      <c r="BX183" s="121">
        <v>9.0000000000000011E-3</v>
      </c>
      <c r="BY183" s="121">
        <v>9.0000000000000011E-3</v>
      </c>
      <c r="BZ183" s="121">
        <v>9.0000000000000011E-3</v>
      </c>
      <c r="CA183" s="121">
        <v>9.0000000000000011E-3</v>
      </c>
      <c r="CB183" s="121">
        <v>9.0000000000000011E-3</v>
      </c>
      <c r="CC183" s="122">
        <v>9.0000000000000011E-3</v>
      </c>
    </row>
    <row r="184" spans="1:81" ht="15" thickBot="1">
      <c r="A184" s="413"/>
      <c r="B184" s="413"/>
      <c r="C184" s="414"/>
      <c r="D184" s="413"/>
      <c r="E184" s="414"/>
      <c r="F184" s="413"/>
      <c r="G184" s="414"/>
      <c r="H184" s="414"/>
      <c r="I184" s="415"/>
      <c r="J184" s="413"/>
      <c r="K184" s="415"/>
      <c r="L184" s="416"/>
      <c r="M184" s="414"/>
      <c r="R184" s="394">
        <f t="shared" si="39"/>
        <v>70.77777777777834</v>
      </c>
      <c r="AJ184" s="150">
        <f t="shared" ref="AJ184:AQ184" si="41">AJ183*AA9</f>
        <v>4.9307980601537906</v>
      </c>
      <c r="AK184" s="150">
        <f t="shared" si="41"/>
        <v>5.3595631088628171</v>
      </c>
      <c r="AL184" s="150">
        <f t="shared" si="41"/>
        <v>5.5754640276886382</v>
      </c>
      <c r="AM184" s="150">
        <f t="shared" si="41"/>
        <v>6.109901944103612</v>
      </c>
      <c r="AN184" s="150" t="e">
        <f t="shared" si="41"/>
        <v>#N/A</v>
      </c>
      <c r="AO184" s="150" t="e">
        <f t="shared" si="41"/>
        <v>#N/A</v>
      </c>
      <c r="AP184" s="150" t="e">
        <f t="shared" si="41"/>
        <v>#N/A</v>
      </c>
      <c r="AQ184" s="150" t="e">
        <f t="shared" si="41"/>
        <v>#N/A</v>
      </c>
      <c r="AT184" s="98">
        <v>75</v>
      </c>
      <c r="AU184" s="114"/>
      <c r="AV184" s="112"/>
      <c r="AW184" s="112"/>
      <c r="AX184" s="112"/>
      <c r="AY184" s="112"/>
      <c r="AZ184" s="112"/>
      <c r="BA184" s="112"/>
      <c r="BB184" s="115"/>
      <c r="BC184" s="98">
        <v>75</v>
      </c>
      <c r="BD184" s="93"/>
      <c r="BE184" s="94"/>
      <c r="BF184" s="94"/>
      <c r="BG184" s="94"/>
      <c r="BH184" s="94"/>
      <c r="BI184" s="94"/>
      <c r="BJ184" s="94"/>
      <c r="BK184" s="95"/>
      <c r="BM184" s="151">
        <f>VLOOKUP((ROUND(AA27,0)),$BL$21:$BT$180,BM186,0)</f>
        <v>0</v>
      </c>
      <c r="BN184" s="151">
        <f t="shared" ref="BN184:BT184" si="42">VLOOKUP((ROUND(AB27,0)),$BL$21:$BT$180,BN186,0)</f>
        <v>0</v>
      </c>
      <c r="BO184" s="151">
        <f t="shared" si="42"/>
        <v>0</v>
      </c>
      <c r="BP184" s="151">
        <f t="shared" si="42"/>
        <v>0</v>
      </c>
      <c r="BQ184" s="151" t="e">
        <f t="shared" si="42"/>
        <v>#N/A</v>
      </c>
      <c r="BR184" s="151" t="e">
        <f t="shared" si="42"/>
        <v>#N/A</v>
      </c>
      <c r="BS184" s="151" t="e">
        <f t="shared" si="42"/>
        <v>#N/A</v>
      </c>
      <c r="BT184" s="151" t="e">
        <f t="shared" si="42"/>
        <v>#N/A</v>
      </c>
      <c r="BU184" s="124">
        <v>75</v>
      </c>
      <c r="BV184" s="120">
        <v>9.0000000000000011E-3</v>
      </c>
      <c r="BW184" s="121">
        <v>9.0000000000000011E-3</v>
      </c>
      <c r="BX184" s="121">
        <v>9.0000000000000011E-3</v>
      </c>
      <c r="BY184" s="121">
        <v>9.0000000000000011E-3</v>
      </c>
      <c r="BZ184" s="121">
        <v>9.0000000000000011E-3</v>
      </c>
      <c r="CA184" s="121">
        <v>9.0000000000000011E-3</v>
      </c>
      <c r="CB184" s="121">
        <v>9.0000000000000011E-3</v>
      </c>
      <c r="CC184" s="122">
        <v>9.0000000000000011E-3</v>
      </c>
    </row>
    <row r="185" spans="1:81" ht="15" thickBot="1">
      <c r="A185" s="413"/>
      <c r="B185" s="413"/>
      <c r="C185" s="414"/>
      <c r="D185" s="413"/>
      <c r="E185" s="414"/>
      <c r="F185" s="413"/>
      <c r="G185" s="414"/>
      <c r="H185" s="414"/>
      <c r="I185" s="415"/>
      <c r="J185" s="413"/>
      <c r="K185" s="415"/>
      <c r="L185" s="416"/>
      <c r="M185" s="414"/>
      <c r="R185" s="394">
        <f t="shared" si="39"/>
        <v>71.166666666667226</v>
      </c>
      <c r="AJ185" s="149"/>
      <c r="AK185" s="149"/>
      <c r="AL185" s="149"/>
      <c r="AM185" s="149"/>
      <c r="AN185" s="149"/>
      <c r="AO185" s="149"/>
      <c r="AP185" s="149"/>
      <c r="AQ185" s="149"/>
      <c r="AT185" s="98">
        <v>76</v>
      </c>
      <c r="AU185" s="114"/>
      <c r="AV185" s="112"/>
      <c r="AW185" s="112"/>
      <c r="AX185" s="112"/>
      <c r="AY185" s="112"/>
      <c r="AZ185" s="112"/>
      <c r="BA185" s="112"/>
      <c r="BB185" s="115"/>
      <c r="BC185" s="98">
        <v>76</v>
      </c>
      <c r="BD185" s="93"/>
      <c r="BE185" s="94"/>
      <c r="BF185" s="94"/>
      <c r="BG185" s="94"/>
      <c r="BH185" s="94"/>
      <c r="BI185" s="94"/>
      <c r="BJ185" s="94"/>
      <c r="BK185" s="95"/>
      <c r="BM185" s="149"/>
      <c r="BN185" s="149"/>
      <c r="BO185" s="149"/>
      <c r="BP185" s="149"/>
      <c r="BQ185" s="149"/>
      <c r="BR185" s="149"/>
      <c r="BS185" s="149"/>
      <c r="BT185" s="149"/>
      <c r="BU185" s="124">
        <v>76</v>
      </c>
      <c r="BV185" s="120">
        <v>9.0000000000000011E-3</v>
      </c>
      <c r="BW185" s="121">
        <v>9.0000000000000011E-3</v>
      </c>
      <c r="BX185" s="121">
        <v>9.0000000000000011E-3</v>
      </c>
      <c r="BY185" s="121">
        <v>9.0000000000000011E-3</v>
      </c>
      <c r="BZ185" s="121">
        <v>9.0000000000000011E-3</v>
      </c>
      <c r="CA185" s="121">
        <v>9.0000000000000011E-3</v>
      </c>
      <c r="CB185" s="121">
        <v>9.0000000000000011E-3</v>
      </c>
      <c r="CC185" s="122">
        <v>9.0000000000000011E-3</v>
      </c>
    </row>
    <row r="186" spans="1:81" ht="15" thickBot="1">
      <c r="A186" s="413"/>
      <c r="B186" s="413"/>
      <c r="C186" s="414"/>
      <c r="D186" s="413"/>
      <c r="E186" s="414"/>
      <c r="F186" s="413"/>
      <c r="G186" s="414"/>
      <c r="H186" s="414"/>
      <c r="I186" s="415"/>
      <c r="J186" s="413"/>
      <c r="K186" s="415"/>
      <c r="L186" s="416"/>
      <c r="M186" s="414"/>
      <c r="R186" s="394">
        <f t="shared" si="39"/>
        <v>71.555555555556111</v>
      </c>
      <c r="AJ186" s="129">
        <v>2</v>
      </c>
      <c r="AK186" s="129">
        <v>3</v>
      </c>
      <c r="AL186" s="129">
        <v>4</v>
      </c>
      <c r="AM186" s="129">
        <v>5</v>
      </c>
      <c r="AN186" s="129">
        <v>6</v>
      </c>
      <c r="AO186" s="129">
        <v>7</v>
      </c>
      <c r="AP186" s="129">
        <v>8</v>
      </c>
      <c r="AQ186" s="130">
        <v>9</v>
      </c>
      <c r="AT186" s="98">
        <v>77</v>
      </c>
      <c r="AU186" s="114"/>
      <c r="AV186" s="112"/>
      <c r="AW186" s="112"/>
      <c r="AX186" s="112"/>
      <c r="AY186" s="112"/>
      <c r="AZ186" s="112"/>
      <c r="BA186" s="112"/>
      <c r="BB186" s="115"/>
      <c r="BC186" s="98">
        <v>77</v>
      </c>
      <c r="BD186" s="93"/>
      <c r="BE186" s="94"/>
      <c r="BF186" s="94"/>
      <c r="BG186" s="94"/>
      <c r="BH186" s="94"/>
      <c r="BI186" s="94"/>
      <c r="BJ186" s="94"/>
      <c r="BK186" s="95"/>
      <c r="BM186" s="129">
        <v>2</v>
      </c>
      <c r="BN186" s="129">
        <v>3</v>
      </c>
      <c r="BO186" s="129">
        <v>4</v>
      </c>
      <c r="BP186" s="129">
        <v>5</v>
      </c>
      <c r="BQ186" s="129">
        <v>6</v>
      </c>
      <c r="BR186" s="129">
        <v>7</v>
      </c>
      <c r="BS186" s="129">
        <v>8</v>
      </c>
      <c r="BT186" s="130">
        <v>9</v>
      </c>
      <c r="BU186" s="124">
        <v>77</v>
      </c>
      <c r="BV186" s="120">
        <v>9.0000000000000011E-3</v>
      </c>
      <c r="BW186" s="121">
        <v>9.0000000000000011E-3</v>
      </c>
      <c r="BX186" s="121">
        <v>9.0000000000000011E-3</v>
      </c>
      <c r="BY186" s="121">
        <v>9.0000000000000011E-3</v>
      </c>
      <c r="BZ186" s="121">
        <v>9.0000000000000011E-3</v>
      </c>
      <c r="CA186" s="121">
        <v>9.0000000000000011E-3</v>
      </c>
      <c r="CB186" s="121">
        <v>9.0000000000000011E-3</v>
      </c>
      <c r="CC186" s="122">
        <v>9.0000000000000011E-3</v>
      </c>
    </row>
    <row r="187" spans="1:81" ht="14.25">
      <c r="A187" s="413"/>
      <c r="B187" s="413"/>
      <c r="C187" s="414"/>
      <c r="D187" s="413"/>
      <c r="E187" s="414"/>
      <c r="F187" s="413"/>
      <c r="G187" s="414"/>
      <c r="H187" s="414"/>
      <c r="I187" s="415"/>
      <c r="J187" s="413"/>
      <c r="K187" s="415"/>
      <c r="L187" s="416"/>
      <c r="M187" s="414"/>
      <c r="R187" s="394">
        <f t="shared" si="39"/>
        <v>71.944444444444997</v>
      </c>
      <c r="AT187" s="98">
        <v>78</v>
      </c>
      <c r="AU187" s="114"/>
      <c r="AV187" s="112"/>
      <c r="AW187" s="112"/>
      <c r="AX187" s="112"/>
      <c r="AY187" s="112"/>
      <c r="AZ187" s="112"/>
      <c r="BA187" s="112"/>
      <c r="BB187" s="115"/>
      <c r="BC187" s="98">
        <v>78</v>
      </c>
      <c r="BD187" s="93"/>
      <c r="BE187" s="94"/>
      <c r="BF187" s="94"/>
      <c r="BG187" s="94"/>
      <c r="BH187" s="94"/>
      <c r="BI187" s="94"/>
      <c r="BJ187" s="94"/>
      <c r="BK187" s="95"/>
      <c r="BU187" s="124">
        <v>78</v>
      </c>
      <c r="BV187" s="120">
        <v>9.0000000000000011E-3</v>
      </c>
      <c r="BW187" s="121">
        <v>9.0000000000000011E-3</v>
      </c>
      <c r="BX187" s="121">
        <v>9.0000000000000011E-3</v>
      </c>
      <c r="BY187" s="121">
        <v>9.0000000000000011E-3</v>
      </c>
      <c r="BZ187" s="121">
        <v>9.0000000000000011E-3</v>
      </c>
      <c r="CA187" s="121">
        <v>9.0000000000000011E-3</v>
      </c>
      <c r="CB187" s="121">
        <v>9.0000000000000011E-3</v>
      </c>
      <c r="CC187" s="122">
        <v>9.0000000000000011E-3</v>
      </c>
    </row>
    <row r="188" spans="1:81" ht="14.25">
      <c r="A188" s="413"/>
      <c r="B188" s="413"/>
      <c r="C188" s="414"/>
      <c r="D188" s="413"/>
      <c r="E188" s="414"/>
      <c r="F188" s="413"/>
      <c r="G188" s="414"/>
      <c r="H188" s="414"/>
      <c r="I188" s="415"/>
      <c r="J188" s="413"/>
      <c r="K188" s="415"/>
      <c r="L188" s="416"/>
      <c r="M188" s="414"/>
      <c r="R188" s="394">
        <f t="shared" si="39"/>
        <v>72.333333333333883</v>
      </c>
      <c r="AT188" s="98">
        <v>79</v>
      </c>
      <c r="AU188" s="114"/>
      <c r="AV188" s="112"/>
      <c r="AW188" s="112"/>
      <c r="AX188" s="112"/>
      <c r="AY188" s="112"/>
      <c r="AZ188" s="112"/>
      <c r="BA188" s="112"/>
      <c r="BB188" s="115"/>
      <c r="BC188" s="98">
        <v>79</v>
      </c>
      <c r="BD188" s="93"/>
      <c r="BE188" s="94"/>
      <c r="BF188" s="94"/>
      <c r="BG188" s="94"/>
      <c r="BH188" s="94"/>
      <c r="BI188" s="94"/>
      <c r="BJ188" s="94"/>
      <c r="BK188" s="95"/>
      <c r="BU188" s="124">
        <v>79</v>
      </c>
      <c r="BV188" s="120">
        <v>9.0000000000000011E-3</v>
      </c>
      <c r="BW188" s="121">
        <v>9.0000000000000011E-3</v>
      </c>
      <c r="BX188" s="121">
        <v>9.0000000000000011E-3</v>
      </c>
      <c r="BY188" s="121">
        <v>9.0000000000000011E-3</v>
      </c>
      <c r="BZ188" s="121">
        <v>9.0000000000000011E-3</v>
      </c>
      <c r="CA188" s="121">
        <v>9.0000000000000011E-3</v>
      </c>
      <c r="CB188" s="121">
        <v>9.0000000000000011E-3</v>
      </c>
      <c r="CC188" s="122">
        <v>9.0000000000000011E-3</v>
      </c>
    </row>
    <row r="189" spans="1:81" ht="14.25">
      <c r="A189" s="413"/>
      <c r="B189" s="413"/>
      <c r="C189" s="414"/>
      <c r="D189" s="413"/>
      <c r="E189" s="414"/>
      <c r="F189" s="413"/>
      <c r="G189" s="414"/>
      <c r="H189" s="414"/>
      <c r="I189" s="415"/>
      <c r="J189" s="413"/>
      <c r="K189" s="415"/>
      <c r="L189" s="416"/>
      <c r="M189" s="414"/>
      <c r="R189" s="394">
        <f t="shared" si="39"/>
        <v>72.722222222222769</v>
      </c>
      <c r="AT189" s="98">
        <v>80</v>
      </c>
      <c r="AU189" s="114">
        <v>0.59</v>
      </c>
      <c r="AV189" s="112">
        <v>0.59</v>
      </c>
      <c r="AW189" s="112">
        <v>0.56000000000000005</v>
      </c>
      <c r="AX189" s="112">
        <v>0.44</v>
      </c>
      <c r="AY189" s="112">
        <v>0.44</v>
      </c>
      <c r="AZ189" s="112">
        <v>0.44</v>
      </c>
      <c r="BA189" s="112">
        <v>0.42</v>
      </c>
      <c r="BB189" s="115">
        <v>0.42</v>
      </c>
      <c r="BC189" s="98">
        <v>80</v>
      </c>
      <c r="BD189" s="93"/>
      <c r="BE189" s="94"/>
      <c r="BF189" s="94"/>
      <c r="BG189" s="94"/>
      <c r="BH189" s="94"/>
      <c r="BI189" s="94"/>
      <c r="BJ189" s="94"/>
      <c r="BK189" s="95"/>
      <c r="BU189" s="124">
        <v>80</v>
      </c>
      <c r="BV189" s="120">
        <v>9.0000000000000011E-3</v>
      </c>
      <c r="BW189" s="121">
        <v>9.0000000000000011E-3</v>
      </c>
      <c r="BX189" s="121">
        <v>9.0000000000000011E-3</v>
      </c>
      <c r="BY189" s="121">
        <v>9.0000000000000011E-3</v>
      </c>
      <c r="BZ189" s="121">
        <v>9.0000000000000011E-3</v>
      </c>
      <c r="CA189" s="121">
        <v>9.0000000000000011E-3</v>
      </c>
      <c r="CB189" s="121">
        <v>9.0000000000000011E-3</v>
      </c>
      <c r="CC189" s="122">
        <v>9.0000000000000011E-3</v>
      </c>
    </row>
    <row r="190" spans="1:81" ht="15" thickBot="1">
      <c r="A190" s="413"/>
      <c r="B190" s="413"/>
      <c r="C190" s="414"/>
      <c r="D190" s="413"/>
      <c r="E190" s="414"/>
      <c r="F190" s="413"/>
      <c r="G190" s="414"/>
      <c r="H190" s="414"/>
      <c r="I190" s="415"/>
      <c r="J190" s="413"/>
      <c r="K190" s="415"/>
      <c r="L190" s="416"/>
      <c r="M190" s="414"/>
      <c r="R190" s="394">
        <f t="shared" si="39"/>
        <v>73.111111111111654</v>
      </c>
      <c r="AU190" s="114" t="s">
        <v>156</v>
      </c>
      <c r="AV190" s="112" t="s">
        <v>157</v>
      </c>
      <c r="AW190" s="112" t="s">
        <v>158</v>
      </c>
      <c r="AX190" s="112" t="s">
        <v>159</v>
      </c>
      <c r="AY190" s="112" t="s">
        <v>160</v>
      </c>
      <c r="AZ190" s="112" t="s">
        <v>161</v>
      </c>
      <c r="BA190" s="112" t="s">
        <v>162</v>
      </c>
      <c r="BB190" s="115" t="s">
        <v>163</v>
      </c>
      <c r="BC190" s="98">
        <v>81</v>
      </c>
      <c r="BD190" s="93"/>
      <c r="BE190" s="94"/>
      <c r="BF190" s="94"/>
      <c r="BG190" s="94"/>
      <c r="BH190" s="94"/>
      <c r="BI190" s="94"/>
      <c r="BJ190" s="94"/>
      <c r="BK190" s="95"/>
      <c r="BU190" s="124">
        <v>81</v>
      </c>
      <c r="BV190" s="120">
        <v>9.0000000000000011E-3</v>
      </c>
      <c r="BW190" s="121">
        <v>9.0000000000000011E-3</v>
      </c>
      <c r="BX190" s="121">
        <v>9.0000000000000011E-3</v>
      </c>
      <c r="BY190" s="121">
        <v>9.0000000000000011E-3</v>
      </c>
      <c r="BZ190" s="121">
        <v>9.0000000000000011E-3</v>
      </c>
      <c r="CA190" s="121">
        <v>9.0000000000000011E-3</v>
      </c>
      <c r="CB190" s="121">
        <v>9.0000000000000011E-3</v>
      </c>
      <c r="CC190" s="122">
        <v>9.0000000000000011E-3</v>
      </c>
    </row>
    <row r="191" spans="1:81" ht="15" thickBot="1">
      <c r="A191" s="413"/>
      <c r="B191" s="413"/>
      <c r="C191" s="414"/>
      <c r="D191" s="413"/>
      <c r="E191" s="414"/>
      <c r="F191" s="413"/>
      <c r="G191" s="414"/>
      <c r="H191" s="414"/>
      <c r="I191" s="415"/>
      <c r="J191" s="413"/>
      <c r="K191" s="415"/>
      <c r="L191" s="416"/>
      <c r="M191" s="414"/>
      <c r="R191" s="394">
        <f t="shared" si="39"/>
        <v>73.50000000000054</v>
      </c>
      <c r="AU191" s="995" t="s">
        <v>147</v>
      </c>
      <c r="AV191" s="995"/>
      <c r="AW191" s="995"/>
      <c r="AX191" s="995"/>
      <c r="AY191" s="995"/>
      <c r="AZ191" s="995"/>
      <c r="BA191" s="995"/>
      <c r="BB191" s="995"/>
      <c r="BC191" s="98">
        <v>82</v>
      </c>
      <c r="BD191" s="93"/>
      <c r="BE191" s="94"/>
      <c r="BF191" s="94"/>
      <c r="BG191" s="94"/>
      <c r="BH191" s="94"/>
      <c r="BI191" s="94"/>
      <c r="BJ191" s="94"/>
      <c r="BK191" s="95"/>
      <c r="BU191" s="124">
        <v>82</v>
      </c>
      <c r="BV191" s="120">
        <v>9.0000000000000011E-3</v>
      </c>
      <c r="BW191" s="121">
        <v>9.0000000000000011E-3</v>
      </c>
      <c r="BX191" s="121">
        <v>9.0000000000000011E-3</v>
      </c>
      <c r="BY191" s="121">
        <v>9.0000000000000011E-3</v>
      </c>
      <c r="BZ191" s="121">
        <v>9.0000000000000011E-3</v>
      </c>
      <c r="CA191" s="121">
        <v>9.0000000000000011E-3</v>
      </c>
      <c r="CB191" s="121">
        <v>9.0000000000000011E-3</v>
      </c>
      <c r="CC191" s="122">
        <v>9.0000000000000011E-3</v>
      </c>
    </row>
    <row r="192" spans="1:81" ht="15" thickBot="1">
      <c r="A192" s="413"/>
      <c r="B192" s="413"/>
      <c r="C192" s="414"/>
      <c r="D192" s="413"/>
      <c r="E192" s="414"/>
      <c r="F192" s="413"/>
      <c r="G192" s="414"/>
      <c r="H192" s="414"/>
      <c r="I192" s="415"/>
      <c r="J192" s="413"/>
      <c r="K192" s="415"/>
      <c r="L192" s="416"/>
      <c r="M192" s="414"/>
      <c r="R192" s="394">
        <f t="shared" si="39"/>
        <v>73.888888888889426</v>
      </c>
      <c r="AU192" s="149"/>
      <c r="AV192" s="149"/>
      <c r="AW192" s="149"/>
      <c r="AX192" s="149"/>
      <c r="AY192" s="149"/>
      <c r="AZ192" s="149"/>
      <c r="BA192" s="149"/>
      <c r="BB192" s="149"/>
      <c r="BC192" s="98">
        <v>83</v>
      </c>
      <c r="BD192" s="93"/>
      <c r="BE192" s="94"/>
      <c r="BF192" s="94"/>
      <c r="BG192" s="94"/>
      <c r="BH192" s="94"/>
      <c r="BI192" s="94"/>
      <c r="BJ192" s="94"/>
      <c r="BK192" s="95"/>
      <c r="BU192" s="124">
        <v>83</v>
      </c>
      <c r="BV192" s="120">
        <v>9.0000000000000011E-3</v>
      </c>
      <c r="BW192" s="121">
        <v>9.0000000000000011E-3</v>
      </c>
      <c r="BX192" s="121">
        <v>9.0000000000000011E-3</v>
      </c>
      <c r="BY192" s="121">
        <v>9.0000000000000011E-3</v>
      </c>
      <c r="BZ192" s="121">
        <v>9.0000000000000011E-3</v>
      </c>
      <c r="CA192" s="121">
        <v>9.0000000000000011E-3</v>
      </c>
      <c r="CB192" s="121">
        <v>9.0000000000000011E-3</v>
      </c>
      <c r="CC192" s="122">
        <v>9.0000000000000011E-3</v>
      </c>
    </row>
    <row r="193" spans="1:81" ht="14.25">
      <c r="A193" s="413"/>
      <c r="B193" s="413"/>
      <c r="C193" s="414"/>
      <c r="D193" s="413"/>
      <c r="E193" s="414"/>
      <c r="F193" s="413"/>
      <c r="G193" s="414"/>
      <c r="H193" s="414"/>
      <c r="I193" s="415"/>
      <c r="J193" s="413"/>
      <c r="K193" s="415"/>
      <c r="L193" s="416"/>
      <c r="M193" s="414"/>
      <c r="R193" s="394">
        <f t="shared" si="39"/>
        <v>74.277777777778311</v>
      </c>
      <c r="AU193" s="152">
        <f>VLOOKUP((ROUND(AA18,0)),$AT$21:$BB$189,AU196,0)</f>
        <v>0.38</v>
      </c>
      <c r="AV193" s="152">
        <f t="shared" ref="AV193:BB193" si="43">VLOOKUP((ROUND(AB18,0)),$AT$21:$BB$189,AV196,0)</f>
        <v>0.38</v>
      </c>
      <c r="AW193" s="152">
        <f t="shared" si="43"/>
        <v>0.35</v>
      </c>
      <c r="AX193" s="152">
        <f t="shared" si="43"/>
        <v>0.3</v>
      </c>
      <c r="AY193" s="152" t="e">
        <f t="shared" si="43"/>
        <v>#N/A</v>
      </c>
      <c r="AZ193" s="152" t="e">
        <f t="shared" si="43"/>
        <v>#N/A</v>
      </c>
      <c r="BA193" s="152" t="e">
        <f t="shared" si="43"/>
        <v>#N/A</v>
      </c>
      <c r="BB193" s="152" t="e">
        <f t="shared" si="43"/>
        <v>#N/A</v>
      </c>
      <c r="BC193" s="98">
        <v>84</v>
      </c>
      <c r="BD193" s="93"/>
      <c r="BE193" s="94"/>
      <c r="BF193" s="94"/>
      <c r="BG193" s="94"/>
      <c r="BH193" s="94"/>
      <c r="BI193" s="94"/>
      <c r="BJ193" s="94"/>
      <c r="BK193" s="95"/>
      <c r="BU193" s="124">
        <v>84</v>
      </c>
      <c r="BV193" s="120">
        <v>9.0000000000000011E-3</v>
      </c>
      <c r="BW193" s="121">
        <v>9.0000000000000011E-3</v>
      </c>
      <c r="BX193" s="121">
        <v>9.0000000000000011E-3</v>
      </c>
      <c r="BY193" s="121">
        <v>9.0000000000000011E-3</v>
      </c>
      <c r="BZ193" s="121">
        <v>9.0000000000000011E-3</v>
      </c>
      <c r="CA193" s="121">
        <v>9.0000000000000011E-3</v>
      </c>
      <c r="CB193" s="121">
        <v>9.0000000000000011E-3</v>
      </c>
      <c r="CC193" s="122">
        <v>9.0000000000000011E-3</v>
      </c>
    </row>
    <row r="194" spans="1:81" ht="15" thickBot="1">
      <c r="A194" s="413"/>
      <c r="B194" s="413"/>
      <c r="C194" s="414"/>
      <c r="D194" s="413"/>
      <c r="E194" s="414"/>
      <c r="F194" s="413"/>
      <c r="G194" s="414"/>
      <c r="H194" s="414"/>
      <c r="I194" s="415"/>
      <c r="J194" s="413"/>
      <c r="K194" s="415"/>
      <c r="L194" s="416"/>
      <c r="M194" s="414"/>
      <c r="R194" s="394">
        <f t="shared" ref="R194:R257" si="44">R195-(R$362*0.2/72)</f>
        <v>74.666666666667197</v>
      </c>
      <c r="AU194" s="153">
        <f>AU193*$X$3</f>
        <v>-3.1692</v>
      </c>
      <c r="AV194" s="153">
        <f t="shared" ref="AV194:BB194" si="45">AV193*$X$3</f>
        <v>-3.1692</v>
      </c>
      <c r="AW194" s="153">
        <f t="shared" si="45"/>
        <v>-2.9189999999999996</v>
      </c>
      <c r="AX194" s="153">
        <f t="shared" si="45"/>
        <v>-2.5019999999999998</v>
      </c>
      <c r="AY194" s="153" t="e">
        <f t="shared" si="45"/>
        <v>#N/A</v>
      </c>
      <c r="AZ194" s="153" t="e">
        <f t="shared" si="45"/>
        <v>#N/A</v>
      </c>
      <c r="BA194" s="153" t="e">
        <f t="shared" si="45"/>
        <v>#N/A</v>
      </c>
      <c r="BB194" s="153" t="e">
        <f t="shared" si="45"/>
        <v>#N/A</v>
      </c>
      <c r="BC194" s="98">
        <v>85</v>
      </c>
      <c r="BD194" s="93"/>
      <c r="BE194" s="94"/>
      <c r="BF194" s="94"/>
      <c r="BG194" s="94"/>
      <c r="BH194" s="94"/>
      <c r="BI194" s="94"/>
      <c r="BJ194" s="94"/>
      <c r="BK194" s="95"/>
      <c r="BU194" s="124">
        <v>85</v>
      </c>
      <c r="BV194" s="120">
        <v>9.0000000000000011E-3</v>
      </c>
      <c r="BW194" s="121">
        <v>9.0000000000000011E-3</v>
      </c>
      <c r="BX194" s="121">
        <v>9.0000000000000011E-3</v>
      </c>
      <c r="BY194" s="121">
        <v>9.0000000000000011E-3</v>
      </c>
      <c r="BZ194" s="121">
        <v>9.0000000000000011E-3</v>
      </c>
      <c r="CA194" s="121">
        <v>9.0000000000000011E-3</v>
      </c>
      <c r="CB194" s="121">
        <v>9.0000000000000011E-3</v>
      </c>
      <c r="CC194" s="122">
        <v>9.0000000000000011E-3</v>
      </c>
    </row>
    <row r="195" spans="1:81" ht="15" thickBot="1">
      <c r="A195" s="413"/>
      <c r="B195" s="413"/>
      <c r="C195" s="414"/>
      <c r="D195" s="413"/>
      <c r="E195" s="414"/>
      <c r="F195" s="413"/>
      <c r="G195" s="414"/>
      <c r="H195" s="414"/>
      <c r="I195" s="415"/>
      <c r="J195" s="413"/>
      <c r="K195" s="415"/>
      <c r="L195" s="416"/>
      <c r="M195" s="414"/>
      <c r="R195" s="394">
        <f t="shared" si="44"/>
        <v>75.055555555556083</v>
      </c>
      <c r="AU195" s="154"/>
      <c r="AV195" s="154"/>
      <c r="AW195" s="154"/>
      <c r="AX195" s="154"/>
      <c r="AY195" s="154"/>
      <c r="AZ195" s="154"/>
      <c r="BA195" s="154"/>
      <c r="BB195" s="155"/>
      <c r="BC195" s="98">
        <v>86</v>
      </c>
      <c r="BD195" s="93"/>
      <c r="BE195" s="94"/>
      <c r="BF195" s="94"/>
      <c r="BG195" s="94"/>
      <c r="BH195" s="94"/>
      <c r="BI195" s="94"/>
      <c r="BJ195" s="94"/>
      <c r="BK195" s="95"/>
      <c r="BU195" s="124">
        <v>86</v>
      </c>
      <c r="BV195" s="120">
        <v>9.0000000000000011E-3</v>
      </c>
      <c r="BW195" s="121">
        <v>9.0000000000000011E-3</v>
      </c>
      <c r="BX195" s="121">
        <v>9.0000000000000011E-3</v>
      </c>
      <c r="BY195" s="121">
        <v>9.0000000000000011E-3</v>
      </c>
      <c r="BZ195" s="121">
        <v>9.0000000000000011E-3</v>
      </c>
      <c r="CA195" s="121">
        <v>9.0000000000000011E-3</v>
      </c>
      <c r="CB195" s="121">
        <v>9.0000000000000011E-3</v>
      </c>
      <c r="CC195" s="122">
        <v>9.0000000000000011E-3</v>
      </c>
    </row>
    <row r="196" spans="1:81" ht="15" thickBot="1">
      <c r="A196" s="413"/>
      <c r="B196" s="413"/>
      <c r="C196" s="414"/>
      <c r="D196" s="413"/>
      <c r="E196" s="414"/>
      <c r="F196" s="413"/>
      <c r="G196" s="414"/>
      <c r="H196" s="414"/>
      <c r="I196" s="415"/>
      <c r="J196" s="413"/>
      <c r="K196" s="415"/>
      <c r="L196" s="416"/>
      <c r="M196" s="414"/>
      <c r="R196" s="394">
        <f t="shared" si="44"/>
        <v>75.444444444444969</v>
      </c>
      <c r="AU196" s="129">
        <v>2</v>
      </c>
      <c r="AV196" s="129">
        <v>3</v>
      </c>
      <c r="AW196" s="129">
        <v>4</v>
      </c>
      <c r="AX196" s="129">
        <v>5</v>
      </c>
      <c r="AY196" s="129">
        <v>6</v>
      </c>
      <c r="AZ196" s="129">
        <v>7</v>
      </c>
      <c r="BA196" s="129">
        <v>8</v>
      </c>
      <c r="BB196" s="130">
        <v>9</v>
      </c>
      <c r="BC196" s="98">
        <v>87</v>
      </c>
      <c r="BD196" s="93"/>
      <c r="BE196" s="94"/>
      <c r="BF196" s="94"/>
      <c r="BG196" s="94"/>
      <c r="BH196" s="94"/>
      <c r="BI196" s="94"/>
      <c r="BJ196" s="94"/>
      <c r="BK196" s="95"/>
      <c r="BU196" s="156">
        <v>87</v>
      </c>
      <c r="BV196" s="120">
        <v>9.0000000000000011E-3</v>
      </c>
      <c r="BW196" s="121">
        <v>9.0000000000000011E-3</v>
      </c>
      <c r="BX196" s="121">
        <v>9.0000000000000011E-3</v>
      </c>
      <c r="BY196" s="121">
        <v>9.0000000000000011E-3</v>
      </c>
      <c r="BZ196" s="121">
        <v>9.0000000000000011E-3</v>
      </c>
      <c r="CA196" s="121">
        <v>9.0000000000000011E-3</v>
      </c>
      <c r="CB196" s="121">
        <v>9.0000000000000011E-3</v>
      </c>
      <c r="CC196" s="122">
        <v>9.0000000000000011E-3</v>
      </c>
    </row>
    <row r="197" spans="1:81" ht="14.25">
      <c r="A197" s="413"/>
      <c r="B197" s="413"/>
      <c r="C197" s="414"/>
      <c r="D197" s="413"/>
      <c r="E197" s="414"/>
      <c r="F197" s="413"/>
      <c r="G197" s="414"/>
      <c r="H197" s="414"/>
      <c r="I197" s="415"/>
      <c r="J197" s="413"/>
      <c r="K197" s="415"/>
      <c r="L197" s="416"/>
      <c r="M197" s="414"/>
      <c r="R197" s="394">
        <f t="shared" si="44"/>
        <v>75.833333333333854</v>
      </c>
      <c r="BC197" s="98">
        <v>88</v>
      </c>
      <c r="BD197" s="93"/>
      <c r="BE197" s="94"/>
      <c r="BF197" s="94"/>
      <c r="BG197" s="94"/>
      <c r="BH197" s="94"/>
      <c r="BI197" s="94"/>
      <c r="BJ197" s="94"/>
      <c r="BK197" s="95"/>
      <c r="BV197" s="93" t="s">
        <v>156</v>
      </c>
      <c r="BW197" s="94" t="s">
        <v>157</v>
      </c>
      <c r="BX197" s="94" t="s">
        <v>158</v>
      </c>
      <c r="BY197" s="94" t="s">
        <v>159</v>
      </c>
      <c r="BZ197" s="94" t="s">
        <v>160</v>
      </c>
      <c r="CA197" s="94" t="s">
        <v>161</v>
      </c>
      <c r="CB197" s="94" t="s">
        <v>162</v>
      </c>
      <c r="CC197" s="95" t="s">
        <v>163</v>
      </c>
    </row>
    <row r="198" spans="1:81" ht="15" thickBot="1">
      <c r="A198" s="413"/>
      <c r="B198" s="413"/>
      <c r="C198" s="414"/>
      <c r="D198" s="413"/>
      <c r="E198" s="414"/>
      <c r="F198" s="413"/>
      <c r="G198" s="414"/>
      <c r="H198" s="414"/>
      <c r="I198" s="415"/>
      <c r="J198" s="413"/>
      <c r="K198" s="415"/>
      <c r="L198" s="416"/>
      <c r="M198" s="414"/>
      <c r="R198" s="394">
        <f t="shared" si="44"/>
        <v>76.22222222222274</v>
      </c>
      <c r="BC198" s="98">
        <v>89</v>
      </c>
      <c r="BD198" s="93">
        <v>1.19</v>
      </c>
      <c r="BE198" s="94">
        <v>1.1399999999999999</v>
      </c>
      <c r="BF198" s="94">
        <v>0.75</v>
      </c>
      <c r="BG198" s="94">
        <v>0.7</v>
      </c>
      <c r="BH198" s="94">
        <v>0.6</v>
      </c>
      <c r="BI198" s="94">
        <v>0.7</v>
      </c>
      <c r="BJ198" s="94">
        <v>0.75</v>
      </c>
      <c r="BK198" s="95">
        <v>0.75</v>
      </c>
      <c r="BV198" s="996" t="s">
        <v>147</v>
      </c>
      <c r="BW198" s="996"/>
      <c r="BX198" s="996"/>
      <c r="BY198" s="996"/>
      <c r="BZ198" s="996"/>
      <c r="CA198" s="996"/>
      <c r="CB198" s="996"/>
      <c r="CC198" s="996"/>
    </row>
    <row r="199" spans="1:81" ht="15" thickBot="1">
      <c r="A199" s="413"/>
      <c r="B199" s="413"/>
      <c r="C199" s="414"/>
      <c r="D199" s="413"/>
      <c r="E199" s="414"/>
      <c r="F199" s="413"/>
      <c r="G199" s="414"/>
      <c r="H199" s="414"/>
      <c r="I199" s="415"/>
      <c r="J199" s="413"/>
      <c r="K199" s="415"/>
      <c r="L199" s="416"/>
      <c r="M199" s="414"/>
      <c r="R199" s="394">
        <f t="shared" si="44"/>
        <v>76.611111111111626</v>
      </c>
      <c r="BD199" s="93" t="s">
        <v>156</v>
      </c>
      <c r="BE199" s="94" t="s">
        <v>157</v>
      </c>
      <c r="BF199" s="94" t="s">
        <v>158</v>
      </c>
      <c r="BG199" s="94" t="s">
        <v>159</v>
      </c>
      <c r="BH199" s="94" t="s">
        <v>160</v>
      </c>
      <c r="BI199" s="94" t="s">
        <v>161</v>
      </c>
      <c r="BJ199" s="94" t="s">
        <v>162</v>
      </c>
      <c r="BK199" s="95" t="s">
        <v>163</v>
      </c>
      <c r="BV199" s="149"/>
      <c r="BW199" s="149"/>
      <c r="BX199" s="149"/>
      <c r="BY199" s="149"/>
      <c r="BZ199" s="149"/>
      <c r="CA199" s="149"/>
      <c r="CB199" s="149"/>
      <c r="CC199" s="149"/>
    </row>
    <row r="200" spans="1:81" ht="15" thickBot="1">
      <c r="A200" s="413"/>
      <c r="B200" s="413"/>
      <c r="C200" s="414"/>
      <c r="D200" s="413"/>
      <c r="E200" s="414"/>
      <c r="F200" s="413"/>
      <c r="G200" s="414"/>
      <c r="H200" s="414"/>
      <c r="I200" s="415"/>
      <c r="J200" s="413"/>
      <c r="K200" s="415"/>
      <c r="L200" s="416"/>
      <c r="M200" s="414"/>
      <c r="R200" s="394">
        <f t="shared" si="44"/>
        <v>77.000000000000512</v>
      </c>
      <c r="BD200" s="994" t="s">
        <v>147</v>
      </c>
      <c r="BE200" s="994"/>
      <c r="BF200" s="994"/>
      <c r="BG200" s="994"/>
      <c r="BH200" s="994"/>
      <c r="BI200" s="994"/>
      <c r="BJ200" s="994"/>
      <c r="BK200" s="994"/>
      <c r="BV200" s="129">
        <f>VLOOKUP((ROUND(AA27,0)),$BU$21:$CC$196,BV202,0)</f>
        <v>0</v>
      </c>
      <c r="BW200" s="129">
        <f t="shared" ref="BW200:CC200" si="46">VLOOKUP((ROUND(AB27,0)),$BU$21:$CC$196,BW202,0)</f>
        <v>0</v>
      </c>
      <c r="BX200" s="129">
        <f t="shared" si="46"/>
        <v>0</v>
      </c>
      <c r="BY200" s="129">
        <f t="shared" si="46"/>
        <v>0</v>
      </c>
      <c r="BZ200" s="129" t="e">
        <f t="shared" si="46"/>
        <v>#N/A</v>
      </c>
      <c r="CA200" s="129" t="e">
        <f t="shared" si="46"/>
        <v>#N/A</v>
      </c>
      <c r="CB200" s="129" t="e">
        <f t="shared" si="46"/>
        <v>#N/A</v>
      </c>
      <c r="CC200" s="129" t="e">
        <f t="shared" si="46"/>
        <v>#N/A</v>
      </c>
    </row>
    <row r="201" spans="1:81" ht="15" thickBot="1">
      <c r="A201" s="413"/>
      <c r="B201" s="413"/>
      <c r="C201" s="414"/>
      <c r="D201" s="413"/>
      <c r="E201" s="414"/>
      <c r="F201" s="413"/>
      <c r="G201" s="414"/>
      <c r="H201" s="414"/>
      <c r="I201" s="415"/>
      <c r="J201" s="413"/>
      <c r="K201" s="415"/>
      <c r="L201" s="416"/>
      <c r="M201" s="414"/>
      <c r="R201" s="394">
        <f t="shared" si="44"/>
        <v>77.388888888889397</v>
      </c>
      <c r="BD201" s="149"/>
      <c r="BE201" s="149"/>
      <c r="BF201" s="149"/>
      <c r="BG201" s="149"/>
      <c r="BH201" s="149"/>
      <c r="BI201" s="149"/>
      <c r="BJ201" s="149"/>
      <c r="BK201" s="149"/>
      <c r="BV201" s="149"/>
      <c r="BW201" s="149"/>
      <c r="BX201" s="149"/>
      <c r="BY201" s="149"/>
      <c r="BZ201" s="149"/>
      <c r="CA201" s="149"/>
      <c r="CB201" s="149"/>
      <c r="CC201" s="149"/>
    </row>
    <row r="202" spans="1:81" ht="15" thickBot="1">
      <c r="A202" s="413"/>
      <c r="B202" s="413"/>
      <c r="C202" s="414"/>
      <c r="D202" s="413"/>
      <c r="E202" s="414"/>
      <c r="F202" s="413"/>
      <c r="G202" s="414"/>
      <c r="H202" s="414"/>
      <c r="I202" s="415"/>
      <c r="J202" s="413"/>
      <c r="K202" s="415"/>
      <c r="L202" s="416"/>
      <c r="M202" s="414"/>
      <c r="R202" s="394">
        <f t="shared" si="44"/>
        <v>77.777777777778283</v>
      </c>
      <c r="BD202" s="135">
        <f>VLOOKUP((ROUND(AA18,0)),$BC$21:$BK$198,BD205,0)</f>
        <v>0.26600000000000001</v>
      </c>
      <c r="BE202" s="135">
        <f t="shared" ref="BE202:BK202" si="47">VLOOKUP((ROUND(AB18,0)),$BC$21:$BK$198,BE205,0)</f>
        <v>0.16700000000000001</v>
      </c>
      <c r="BF202" s="135">
        <f t="shared" si="47"/>
        <v>0.5</v>
      </c>
      <c r="BG202" s="135">
        <f t="shared" si="47"/>
        <v>0.45</v>
      </c>
      <c r="BH202" s="135" t="e">
        <f t="shared" si="47"/>
        <v>#N/A</v>
      </c>
      <c r="BI202" s="135" t="e">
        <f t="shared" si="47"/>
        <v>#N/A</v>
      </c>
      <c r="BJ202" s="135" t="e">
        <f t="shared" si="47"/>
        <v>#N/A</v>
      </c>
      <c r="BK202" s="135" t="e">
        <f t="shared" si="47"/>
        <v>#N/A</v>
      </c>
      <c r="BV202" s="129">
        <v>2</v>
      </c>
      <c r="BW202" s="129">
        <v>3</v>
      </c>
      <c r="BX202" s="129">
        <v>4</v>
      </c>
      <c r="BY202" s="129">
        <v>5</v>
      </c>
      <c r="BZ202" s="129">
        <v>6</v>
      </c>
      <c r="CA202" s="129">
        <v>7</v>
      </c>
      <c r="CB202" s="129">
        <v>8</v>
      </c>
      <c r="CC202" s="130">
        <v>9</v>
      </c>
    </row>
    <row r="203" spans="1:81" ht="15" thickBot="1">
      <c r="A203" s="413"/>
      <c r="B203" s="413"/>
      <c r="C203" s="414"/>
      <c r="D203" s="413"/>
      <c r="E203" s="414"/>
      <c r="F203" s="413"/>
      <c r="G203" s="414"/>
      <c r="H203" s="414"/>
      <c r="I203" s="415"/>
      <c r="J203" s="413"/>
      <c r="K203" s="415"/>
      <c r="L203" s="416"/>
      <c r="M203" s="414"/>
      <c r="R203" s="394">
        <f t="shared" si="44"/>
        <v>78.166666666667169</v>
      </c>
      <c r="BD203" s="153">
        <f t="shared" ref="BD203:BK203" si="48">BD202*$X$3</f>
        <v>-2.2184400000000002</v>
      </c>
      <c r="BE203" s="153">
        <f t="shared" si="48"/>
        <v>-1.3927800000000001</v>
      </c>
      <c r="BF203" s="153">
        <f t="shared" si="48"/>
        <v>-4.17</v>
      </c>
      <c r="BG203" s="153">
        <f t="shared" si="48"/>
        <v>-3.7530000000000001</v>
      </c>
      <c r="BH203" s="153" t="e">
        <f t="shared" si="48"/>
        <v>#N/A</v>
      </c>
      <c r="BI203" s="153" t="e">
        <f t="shared" si="48"/>
        <v>#N/A</v>
      </c>
      <c r="BJ203" s="153" t="e">
        <f t="shared" si="48"/>
        <v>#N/A</v>
      </c>
      <c r="BK203" s="153" t="e">
        <f t="shared" si="48"/>
        <v>#N/A</v>
      </c>
      <c r="BV203" s="157"/>
      <c r="BW203" s="157"/>
      <c r="BX203" s="157"/>
      <c r="BY203" s="157"/>
      <c r="BZ203" s="157"/>
      <c r="CA203" s="157"/>
      <c r="CB203" s="157"/>
      <c r="CC203" s="157"/>
    </row>
    <row r="204" spans="1:81" ht="15" thickBot="1">
      <c r="A204" s="413"/>
      <c r="B204" s="413"/>
      <c r="C204" s="414"/>
      <c r="D204" s="413"/>
      <c r="E204" s="414"/>
      <c r="F204" s="413"/>
      <c r="G204" s="414"/>
      <c r="H204" s="414"/>
      <c r="I204" s="415"/>
      <c r="J204" s="413"/>
      <c r="K204" s="415"/>
      <c r="L204" s="416"/>
      <c r="M204" s="414"/>
      <c r="R204" s="394">
        <f t="shared" si="44"/>
        <v>78.555555555556055</v>
      </c>
      <c r="BD204" s="154"/>
      <c r="BE204" s="154"/>
      <c r="BF204" s="154"/>
      <c r="BG204" s="154"/>
      <c r="BH204" s="154"/>
      <c r="BI204" s="154"/>
      <c r="BJ204" s="154"/>
      <c r="BK204" s="155"/>
    </row>
    <row r="205" spans="1:81" ht="15" thickBot="1">
      <c r="A205" s="413"/>
      <c r="B205" s="413"/>
      <c r="C205" s="414"/>
      <c r="D205" s="413"/>
      <c r="E205" s="414"/>
      <c r="F205" s="413"/>
      <c r="G205" s="414"/>
      <c r="H205" s="414"/>
      <c r="I205" s="415"/>
      <c r="J205" s="413"/>
      <c r="K205" s="415"/>
      <c r="L205" s="416"/>
      <c r="M205" s="414"/>
      <c r="R205" s="394">
        <f t="shared" si="44"/>
        <v>78.94444444444494</v>
      </c>
      <c r="BD205" s="129">
        <v>2</v>
      </c>
      <c r="BE205" s="129">
        <v>3</v>
      </c>
      <c r="BF205" s="129">
        <v>4</v>
      </c>
      <c r="BG205" s="129">
        <v>5</v>
      </c>
      <c r="BH205" s="129">
        <v>6</v>
      </c>
      <c r="BI205" s="129">
        <v>7</v>
      </c>
      <c r="BJ205" s="129">
        <v>8</v>
      </c>
      <c r="BK205" s="130">
        <v>9</v>
      </c>
    </row>
    <row r="206" spans="1:81" ht="15" thickBot="1">
      <c r="A206" s="413"/>
      <c r="B206" s="413"/>
      <c r="C206" s="414"/>
      <c r="D206" s="413"/>
      <c r="E206" s="414"/>
      <c r="F206" s="413"/>
      <c r="G206" s="414"/>
      <c r="H206" s="414"/>
      <c r="I206" s="415"/>
      <c r="J206" s="413"/>
      <c r="K206" s="415"/>
      <c r="L206" s="416"/>
      <c r="M206" s="414"/>
      <c r="R206" s="394">
        <f t="shared" si="44"/>
        <v>79.333333333333826</v>
      </c>
      <c r="BD206" s="154"/>
      <c r="BE206" s="154"/>
      <c r="BF206" s="154"/>
      <c r="BG206" s="154"/>
      <c r="BH206" s="154"/>
      <c r="BI206" s="154"/>
      <c r="BJ206" s="154"/>
      <c r="BK206" s="154"/>
    </row>
    <row r="207" spans="1:81" ht="14.25">
      <c r="A207" s="413"/>
      <c r="B207" s="413"/>
      <c r="C207" s="414"/>
      <c r="D207" s="413"/>
      <c r="E207" s="414"/>
      <c r="F207" s="413"/>
      <c r="G207" s="414"/>
      <c r="H207" s="414"/>
      <c r="I207" s="415"/>
      <c r="J207" s="413"/>
      <c r="K207" s="415"/>
      <c r="L207" s="416"/>
      <c r="M207" s="414"/>
      <c r="R207" s="394">
        <f t="shared" si="44"/>
        <v>79.722222222222712</v>
      </c>
    </row>
    <row r="208" spans="1:81" ht="14.25">
      <c r="A208" s="413"/>
      <c r="B208" s="413"/>
      <c r="C208" s="414"/>
      <c r="D208" s="413"/>
      <c r="E208" s="414"/>
      <c r="F208" s="413"/>
      <c r="G208" s="414"/>
      <c r="H208" s="414"/>
      <c r="I208" s="415"/>
      <c r="J208" s="413"/>
      <c r="K208" s="415"/>
      <c r="L208" s="416"/>
      <c r="M208" s="414"/>
      <c r="R208" s="394">
        <f t="shared" si="44"/>
        <v>80.111111111111597</v>
      </c>
    </row>
    <row r="209" spans="1:18" ht="14.25">
      <c r="A209" s="413"/>
      <c r="B209" s="413"/>
      <c r="C209" s="414"/>
      <c r="D209" s="413"/>
      <c r="E209" s="414"/>
      <c r="F209" s="413"/>
      <c r="G209" s="414"/>
      <c r="H209" s="414"/>
      <c r="I209" s="415"/>
      <c r="J209" s="413"/>
      <c r="K209" s="415"/>
      <c r="L209" s="416"/>
      <c r="M209" s="414"/>
      <c r="R209" s="394">
        <f t="shared" si="44"/>
        <v>80.500000000000483</v>
      </c>
    </row>
    <row r="210" spans="1:18" ht="14.25">
      <c r="A210" s="413"/>
      <c r="B210" s="413"/>
      <c r="C210" s="414"/>
      <c r="D210" s="413"/>
      <c r="E210" s="414"/>
      <c r="F210" s="413"/>
      <c r="G210" s="414"/>
      <c r="H210" s="414"/>
      <c r="I210" s="415"/>
      <c r="J210" s="413"/>
      <c r="K210" s="415"/>
      <c r="L210" s="416"/>
      <c r="M210" s="414"/>
      <c r="R210" s="394">
        <f t="shared" si="44"/>
        <v>80.888888888889369</v>
      </c>
    </row>
    <row r="211" spans="1:18" ht="14.25">
      <c r="A211" s="413"/>
      <c r="B211" s="413"/>
      <c r="C211" s="414"/>
      <c r="D211" s="413"/>
      <c r="E211" s="414"/>
      <c r="F211" s="413"/>
      <c r="G211" s="414"/>
      <c r="H211" s="414"/>
      <c r="I211" s="415"/>
      <c r="J211" s="413"/>
      <c r="K211" s="415"/>
      <c r="L211" s="416"/>
      <c r="M211" s="414"/>
      <c r="R211" s="394">
        <f t="shared" si="44"/>
        <v>81.277777777778255</v>
      </c>
    </row>
    <row r="212" spans="1:18" ht="14.25">
      <c r="A212" s="413"/>
      <c r="B212" s="413"/>
      <c r="C212" s="414"/>
      <c r="D212" s="413"/>
      <c r="E212" s="414"/>
      <c r="F212" s="413"/>
      <c r="G212" s="414"/>
      <c r="H212" s="414"/>
      <c r="I212" s="415"/>
      <c r="J212" s="413"/>
      <c r="K212" s="415"/>
      <c r="L212" s="416"/>
      <c r="M212" s="414"/>
      <c r="R212" s="394">
        <f t="shared" si="44"/>
        <v>81.66666666666714</v>
      </c>
    </row>
    <row r="213" spans="1:18" ht="14.25">
      <c r="A213" s="413"/>
      <c r="B213" s="413"/>
      <c r="C213" s="414"/>
      <c r="D213" s="413"/>
      <c r="E213" s="414"/>
      <c r="F213" s="413"/>
      <c r="G213" s="414"/>
      <c r="H213" s="414"/>
      <c r="I213" s="415"/>
      <c r="J213" s="413"/>
      <c r="K213" s="415"/>
      <c r="L213" s="416"/>
      <c r="M213" s="414"/>
      <c r="R213" s="394">
        <f t="shared" si="44"/>
        <v>82.055555555556026</v>
      </c>
    </row>
    <row r="214" spans="1:18" ht="14.25">
      <c r="A214" s="413"/>
      <c r="B214" s="413"/>
      <c r="C214" s="414"/>
      <c r="D214" s="413"/>
      <c r="E214" s="414"/>
      <c r="F214" s="414"/>
      <c r="G214" s="414"/>
      <c r="H214" s="414"/>
      <c r="I214" s="415"/>
      <c r="J214" s="413"/>
      <c r="K214" s="415"/>
      <c r="L214" s="416"/>
      <c r="M214" s="414"/>
      <c r="R214" s="394">
        <f t="shared" si="44"/>
        <v>82.444444444444912</v>
      </c>
    </row>
    <row r="215" spans="1:18" ht="14.25">
      <c r="A215" s="413"/>
      <c r="B215" s="413"/>
      <c r="C215" s="414"/>
      <c r="D215" s="413"/>
      <c r="E215" s="414"/>
      <c r="F215" s="414"/>
      <c r="G215" s="414"/>
      <c r="H215" s="414"/>
      <c r="I215" s="415"/>
      <c r="J215" s="413"/>
      <c r="K215" s="415"/>
      <c r="L215" s="416"/>
      <c r="M215" s="414"/>
      <c r="R215" s="394">
        <f t="shared" si="44"/>
        <v>82.833333333333798</v>
      </c>
    </row>
    <row r="216" spans="1:18" ht="14.25">
      <c r="A216" s="413"/>
      <c r="B216" s="413"/>
      <c r="C216" s="414"/>
      <c r="D216" s="413"/>
      <c r="E216" s="414"/>
      <c r="F216" s="414"/>
      <c r="G216" s="414"/>
      <c r="H216" s="414"/>
      <c r="I216" s="415"/>
      <c r="J216" s="413"/>
      <c r="K216" s="415"/>
      <c r="L216" s="416"/>
      <c r="M216" s="414"/>
      <c r="R216" s="394">
        <f t="shared" si="44"/>
        <v>83.222222222222683</v>
      </c>
    </row>
    <row r="217" spans="1:18" ht="14.25">
      <c r="A217" s="413"/>
      <c r="B217" s="413"/>
      <c r="C217" s="414"/>
      <c r="D217" s="413"/>
      <c r="E217" s="414"/>
      <c r="F217" s="414"/>
      <c r="G217" s="414"/>
      <c r="H217" s="414"/>
      <c r="I217" s="415"/>
      <c r="J217" s="413"/>
      <c r="K217" s="415"/>
      <c r="L217" s="416"/>
      <c r="M217" s="414"/>
      <c r="R217" s="394">
        <f t="shared" si="44"/>
        <v>83.611111111111569</v>
      </c>
    </row>
    <row r="218" spans="1:18" ht="14.25">
      <c r="A218" s="413"/>
      <c r="B218" s="413"/>
      <c r="C218" s="414"/>
      <c r="D218" s="413"/>
      <c r="E218" s="414"/>
      <c r="F218" s="414"/>
      <c r="G218" s="414"/>
      <c r="H218" s="414"/>
      <c r="I218" s="415"/>
      <c r="J218" s="413"/>
      <c r="K218" s="415"/>
      <c r="L218" s="416"/>
      <c r="M218" s="414"/>
      <c r="R218" s="394">
        <f t="shared" si="44"/>
        <v>84.000000000000455</v>
      </c>
    </row>
    <row r="219" spans="1:18" ht="14.25">
      <c r="A219" s="413"/>
      <c r="B219" s="413"/>
      <c r="C219" s="414"/>
      <c r="D219" s="413"/>
      <c r="E219" s="414"/>
      <c r="F219" s="414"/>
      <c r="G219" s="414"/>
      <c r="H219" s="414"/>
      <c r="I219" s="415"/>
      <c r="J219" s="413"/>
      <c r="K219" s="415"/>
      <c r="L219" s="416"/>
      <c r="M219" s="414"/>
      <c r="R219" s="394">
        <f t="shared" si="44"/>
        <v>84.38888888888934</v>
      </c>
    </row>
    <row r="220" spans="1:18" ht="14.25">
      <c r="A220" s="413"/>
      <c r="B220" s="413"/>
      <c r="C220" s="414"/>
      <c r="D220" s="413"/>
      <c r="E220" s="414"/>
      <c r="F220" s="414"/>
      <c r="G220" s="414"/>
      <c r="H220" s="414"/>
      <c r="I220" s="415"/>
      <c r="J220" s="413"/>
      <c r="K220" s="415"/>
      <c r="L220" s="416"/>
      <c r="M220" s="414"/>
      <c r="R220" s="394">
        <f t="shared" si="44"/>
        <v>84.777777777778226</v>
      </c>
    </row>
    <row r="221" spans="1:18" ht="14.25">
      <c r="A221" s="413"/>
      <c r="B221" s="413"/>
      <c r="C221" s="414"/>
      <c r="D221" s="413"/>
      <c r="E221" s="414"/>
      <c r="F221" s="414"/>
      <c r="G221" s="414"/>
      <c r="H221" s="414"/>
      <c r="I221" s="415"/>
      <c r="J221" s="413"/>
      <c r="K221" s="415"/>
      <c r="L221" s="416"/>
      <c r="M221" s="414"/>
      <c r="R221" s="394">
        <f t="shared" si="44"/>
        <v>85.166666666667112</v>
      </c>
    </row>
    <row r="222" spans="1:18" ht="14.25">
      <c r="A222" s="413"/>
      <c r="B222" s="413"/>
      <c r="C222" s="414"/>
      <c r="D222" s="413"/>
      <c r="E222" s="414"/>
      <c r="F222" s="414"/>
      <c r="G222" s="414"/>
      <c r="H222" s="414"/>
      <c r="I222" s="415"/>
      <c r="J222" s="413"/>
      <c r="K222" s="415"/>
      <c r="L222" s="416"/>
      <c r="M222" s="414"/>
      <c r="R222" s="394">
        <f t="shared" si="44"/>
        <v>85.555555555555998</v>
      </c>
    </row>
    <row r="223" spans="1:18" ht="14.25">
      <c r="A223" s="413"/>
      <c r="B223" s="413"/>
      <c r="C223" s="414"/>
      <c r="D223" s="413"/>
      <c r="E223" s="414"/>
      <c r="F223" s="414"/>
      <c r="G223" s="414"/>
      <c r="H223" s="414"/>
      <c r="I223" s="415"/>
      <c r="J223" s="413"/>
      <c r="K223" s="415"/>
      <c r="L223" s="416"/>
      <c r="M223" s="414"/>
      <c r="R223" s="394">
        <f t="shared" si="44"/>
        <v>85.944444444444883</v>
      </c>
    </row>
    <row r="224" spans="1:18" ht="14.25">
      <c r="A224" s="413"/>
      <c r="B224" s="413"/>
      <c r="C224" s="414"/>
      <c r="D224" s="413"/>
      <c r="E224" s="414"/>
      <c r="F224" s="414"/>
      <c r="G224" s="414"/>
      <c r="H224" s="414"/>
      <c r="I224" s="415"/>
      <c r="J224" s="413"/>
      <c r="K224" s="415"/>
      <c r="L224" s="416"/>
      <c r="M224" s="414"/>
      <c r="R224" s="394">
        <f t="shared" si="44"/>
        <v>86.333333333333769</v>
      </c>
    </row>
    <row r="225" spans="1:18" ht="14.25">
      <c r="A225" s="413"/>
      <c r="B225" s="413"/>
      <c r="C225" s="414"/>
      <c r="D225" s="413"/>
      <c r="E225" s="414"/>
      <c r="F225" s="414"/>
      <c r="G225" s="414"/>
      <c r="H225" s="414"/>
      <c r="I225" s="415"/>
      <c r="J225" s="413"/>
      <c r="K225" s="415"/>
      <c r="L225" s="416"/>
      <c r="M225" s="414"/>
      <c r="R225" s="394">
        <f t="shared" si="44"/>
        <v>86.722222222222655</v>
      </c>
    </row>
    <row r="226" spans="1:18" ht="14.25">
      <c r="A226" s="413"/>
      <c r="B226" s="413"/>
      <c r="C226" s="414"/>
      <c r="D226" s="413"/>
      <c r="E226" s="414"/>
      <c r="F226" s="414"/>
      <c r="G226" s="414"/>
      <c r="H226" s="414"/>
      <c r="I226" s="415"/>
      <c r="J226" s="413"/>
      <c r="K226" s="415"/>
      <c r="L226" s="416"/>
      <c r="M226" s="414"/>
      <c r="R226" s="394">
        <f t="shared" si="44"/>
        <v>87.111111111111541</v>
      </c>
    </row>
    <row r="227" spans="1:18" ht="14.25">
      <c r="A227" s="413"/>
      <c r="B227" s="413"/>
      <c r="C227" s="414"/>
      <c r="D227" s="413"/>
      <c r="E227" s="414"/>
      <c r="F227" s="414"/>
      <c r="G227" s="414"/>
      <c r="H227" s="414"/>
      <c r="I227" s="415"/>
      <c r="J227" s="413"/>
      <c r="K227" s="415"/>
      <c r="L227" s="416"/>
      <c r="M227" s="414"/>
      <c r="R227" s="394">
        <f t="shared" si="44"/>
        <v>87.500000000000426</v>
      </c>
    </row>
    <row r="228" spans="1:18" ht="14.25">
      <c r="A228" s="413"/>
      <c r="B228" s="413"/>
      <c r="C228" s="414"/>
      <c r="D228" s="413"/>
      <c r="E228" s="414"/>
      <c r="F228" s="414"/>
      <c r="G228" s="414"/>
      <c r="H228" s="414"/>
      <c r="I228" s="415"/>
      <c r="J228" s="413"/>
      <c r="K228" s="415"/>
      <c r="L228" s="416"/>
      <c r="M228" s="414"/>
      <c r="R228" s="394">
        <f t="shared" si="44"/>
        <v>87.888888888889312</v>
      </c>
    </row>
    <row r="229" spans="1:18" ht="14.25">
      <c r="A229" s="413"/>
      <c r="B229" s="413"/>
      <c r="C229" s="414"/>
      <c r="D229" s="413"/>
      <c r="E229" s="414"/>
      <c r="F229" s="414"/>
      <c r="G229" s="414"/>
      <c r="H229" s="414"/>
      <c r="I229" s="415"/>
      <c r="J229" s="413"/>
      <c r="K229" s="415"/>
      <c r="L229" s="416"/>
      <c r="M229" s="414"/>
      <c r="R229" s="394">
        <f t="shared" si="44"/>
        <v>88.277777777778198</v>
      </c>
    </row>
    <row r="230" spans="1:18" ht="14.25">
      <c r="A230" s="413"/>
      <c r="B230" s="413"/>
      <c r="C230" s="414"/>
      <c r="D230" s="413"/>
      <c r="E230" s="414"/>
      <c r="F230" s="414"/>
      <c r="G230" s="414"/>
      <c r="H230" s="414"/>
      <c r="I230" s="415"/>
      <c r="J230" s="413"/>
      <c r="K230" s="415"/>
      <c r="L230" s="416"/>
      <c r="M230" s="414"/>
      <c r="R230" s="394">
        <f t="shared" si="44"/>
        <v>88.666666666667084</v>
      </c>
    </row>
    <row r="231" spans="1:18" ht="14.25">
      <c r="A231" s="413"/>
      <c r="B231" s="413"/>
      <c r="C231" s="414"/>
      <c r="D231" s="413"/>
      <c r="E231" s="414"/>
      <c r="F231" s="414"/>
      <c r="G231" s="414"/>
      <c r="H231" s="414"/>
      <c r="I231" s="415"/>
      <c r="J231" s="413"/>
      <c r="K231" s="415"/>
      <c r="L231" s="416"/>
      <c r="M231" s="414"/>
      <c r="R231" s="394">
        <f t="shared" si="44"/>
        <v>89.055555555555969</v>
      </c>
    </row>
    <row r="232" spans="1:18" ht="14.25">
      <c r="A232" s="413"/>
      <c r="B232" s="413"/>
      <c r="C232" s="414"/>
      <c r="D232" s="413"/>
      <c r="E232" s="414"/>
      <c r="F232" s="414"/>
      <c r="G232" s="414"/>
      <c r="H232" s="414"/>
      <c r="I232" s="415"/>
      <c r="J232" s="413"/>
      <c r="K232" s="415"/>
      <c r="L232" s="416"/>
      <c r="M232" s="414"/>
      <c r="R232" s="394">
        <f t="shared" si="44"/>
        <v>89.444444444444855</v>
      </c>
    </row>
    <row r="233" spans="1:18" ht="14.25">
      <c r="A233" s="413"/>
      <c r="B233" s="413"/>
      <c r="C233" s="414"/>
      <c r="D233" s="413"/>
      <c r="E233" s="414"/>
      <c r="F233" s="414"/>
      <c r="G233" s="414"/>
      <c r="H233" s="414"/>
      <c r="I233" s="415"/>
      <c r="J233" s="413"/>
      <c r="K233" s="415"/>
      <c r="L233" s="416"/>
      <c r="M233" s="414"/>
      <c r="R233" s="394">
        <f t="shared" si="44"/>
        <v>89.833333333333741</v>
      </c>
    </row>
    <row r="234" spans="1:18" ht="14.25">
      <c r="A234" s="413"/>
      <c r="B234" s="413"/>
      <c r="C234" s="414"/>
      <c r="D234" s="413"/>
      <c r="E234" s="414"/>
      <c r="F234" s="414"/>
      <c r="G234" s="414"/>
      <c r="H234" s="414"/>
      <c r="I234" s="415"/>
      <c r="J234" s="413"/>
      <c r="K234" s="415"/>
      <c r="L234" s="416"/>
      <c r="M234" s="414"/>
      <c r="R234" s="394">
        <f t="shared" si="44"/>
        <v>90.222222222222626</v>
      </c>
    </row>
    <row r="235" spans="1:18" ht="14.25">
      <c r="A235" s="413"/>
      <c r="B235" s="413"/>
      <c r="C235" s="414"/>
      <c r="D235" s="413"/>
      <c r="E235" s="414"/>
      <c r="F235" s="414"/>
      <c r="G235" s="414"/>
      <c r="H235" s="414"/>
      <c r="I235" s="415"/>
      <c r="J235" s="413"/>
      <c r="K235" s="415"/>
      <c r="L235" s="416"/>
      <c r="M235" s="414"/>
      <c r="R235" s="394">
        <f t="shared" si="44"/>
        <v>90.611111111111512</v>
      </c>
    </row>
    <row r="236" spans="1:18" ht="14.25">
      <c r="A236" s="413"/>
      <c r="B236" s="413"/>
      <c r="C236" s="414"/>
      <c r="D236" s="413"/>
      <c r="E236" s="414"/>
      <c r="F236" s="414"/>
      <c r="G236" s="414"/>
      <c r="H236" s="414"/>
      <c r="I236" s="415"/>
      <c r="J236" s="413"/>
      <c r="K236" s="415"/>
      <c r="L236" s="416"/>
      <c r="M236" s="414"/>
      <c r="R236" s="394">
        <f t="shared" si="44"/>
        <v>91.000000000000398</v>
      </c>
    </row>
    <row r="237" spans="1:18" ht="14.25">
      <c r="A237" s="413"/>
      <c r="B237" s="413"/>
      <c r="C237" s="414"/>
      <c r="D237" s="413"/>
      <c r="E237" s="414"/>
      <c r="F237" s="414"/>
      <c r="G237" s="414"/>
      <c r="H237" s="414"/>
      <c r="I237" s="415"/>
      <c r="J237" s="413"/>
      <c r="K237" s="415"/>
      <c r="L237" s="416"/>
      <c r="M237" s="414"/>
      <c r="R237" s="394">
        <f t="shared" si="44"/>
        <v>91.388888888889284</v>
      </c>
    </row>
    <row r="238" spans="1:18" ht="14.25">
      <c r="A238" s="413"/>
      <c r="B238" s="413"/>
      <c r="C238" s="414"/>
      <c r="D238" s="413"/>
      <c r="E238" s="414"/>
      <c r="F238" s="414"/>
      <c r="G238" s="414"/>
      <c r="H238" s="414"/>
      <c r="I238" s="415"/>
      <c r="J238" s="413"/>
      <c r="K238" s="415"/>
      <c r="L238" s="416"/>
      <c r="M238" s="414"/>
      <c r="R238" s="394">
        <f t="shared" si="44"/>
        <v>91.777777777778169</v>
      </c>
    </row>
    <row r="239" spans="1:18" ht="14.25">
      <c r="A239" s="413"/>
      <c r="B239" s="413"/>
      <c r="C239" s="414"/>
      <c r="D239" s="413"/>
      <c r="E239" s="414"/>
      <c r="F239" s="414"/>
      <c r="G239" s="414"/>
      <c r="H239" s="414"/>
      <c r="I239" s="415"/>
      <c r="J239" s="413"/>
      <c r="K239" s="415"/>
      <c r="L239" s="416"/>
      <c r="M239" s="414"/>
      <c r="R239" s="394">
        <f t="shared" si="44"/>
        <v>92.166666666667055</v>
      </c>
    </row>
    <row r="240" spans="1:18" ht="14.25">
      <c r="A240" s="413"/>
      <c r="B240" s="413"/>
      <c r="C240" s="414"/>
      <c r="D240" s="413"/>
      <c r="E240" s="414"/>
      <c r="F240" s="414"/>
      <c r="G240" s="414"/>
      <c r="H240" s="414"/>
      <c r="I240" s="415"/>
      <c r="J240" s="413"/>
      <c r="K240" s="415"/>
      <c r="L240" s="416"/>
      <c r="M240" s="414"/>
      <c r="R240" s="394">
        <f t="shared" si="44"/>
        <v>92.555555555555941</v>
      </c>
    </row>
    <row r="241" spans="1:18" ht="14.25">
      <c r="A241" s="413"/>
      <c r="B241" s="413"/>
      <c r="C241" s="414"/>
      <c r="D241" s="413"/>
      <c r="E241" s="414"/>
      <c r="F241" s="414"/>
      <c r="G241" s="414"/>
      <c r="H241" s="414"/>
      <c r="I241" s="415"/>
      <c r="J241" s="413"/>
      <c r="K241" s="415"/>
      <c r="L241" s="416"/>
      <c r="M241" s="414"/>
      <c r="R241" s="394">
        <f t="shared" si="44"/>
        <v>92.944444444444827</v>
      </c>
    </row>
    <row r="242" spans="1:18" ht="14.25">
      <c r="A242" s="413"/>
      <c r="B242" s="413"/>
      <c r="C242" s="414"/>
      <c r="D242" s="413"/>
      <c r="E242" s="414"/>
      <c r="F242" s="414"/>
      <c r="G242" s="414"/>
      <c r="H242" s="414"/>
      <c r="I242" s="415"/>
      <c r="J242" s="413"/>
      <c r="K242" s="415"/>
      <c r="L242" s="416"/>
      <c r="M242" s="414"/>
      <c r="R242" s="394">
        <f t="shared" si="44"/>
        <v>93.333333333333712</v>
      </c>
    </row>
    <row r="243" spans="1:18" ht="14.25">
      <c r="A243" s="413"/>
      <c r="B243" s="413"/>
      <c r="C243" s="414"/>
      <c r="D243" s="413"/>
      <c r="E243" s="414"/>
      <c r="F243" s="414"/>
      <c r="G243" s="414"/>
      <c r="H243" s="414"/>
      <c r="I243" s="415"/>
      <c r="J243" s="413"/>
      <c r="K243" s="415"/>
      <c r="L243" s="416"/>
      <c r="M243" s="414"/>
      <c r="R243" s="394">
        <f t="shared" si="44"/>
        <v>93.722222222222598</v>
      </c>
    </row>
    <row r="244" spans="1:18" ht="14.25">
      <c r="A244" s="413"/>
      <c r="B244" s="413"/>
      <c r="C244" s="414"/>
      <c r="D244" s="413"/>
      <c r="E244" s="414"/>
      <c r="F244" s="414"/>
      <c r="G244" s="414"/>
      <c r="H244" s="414"/>
      <c r="I244" s="415"/>
      <c r="J244" s="413"/>
      <c r="K244" s="415"/>
      <c r="L244" s="416"/>
      <c r="M244" s="414"/>
      <c r="R244" s="394">
        <f t="shared" si="44"/>
        <v>94.111111111111484</v>
      </c>
    </row>
    <row r="245" spans="1:18" ht="14.25">
      <c r="A245" s="413"/>
      <c r="B245" s="413"/>
      <c r="C245" s="414"/>
      <c r="D245" s="413"/>
      <c r="E245" s="414"/>
      <c r="F245" s="414"/>
      <c r="G245" s="414"/>
      <c r="H245" s="414"/>
      <c r="I245" s="415"/>
      <c r="J245" s="413"/>
      <c r="K245" s="415"/>
      <c r="L245" s="416"/>
      <c r="M245" s="414"/>
      <c r="R245" s="394">
        <f t="shared" si="44"/>
        <v>94.500000000000369</v>
      </c>
    </row>
    <row r="246" spans="1:18" ht="14.25">
      <c r="A246" s="413"/>
      <c r="B246" s="413"/>
      <c r="C246" s="414"/>
      <c r="D246" s="413"/>
      <c r="E246" s="414"/>
      <c r="F246" s="414"/>
      <c r="G246" s="414"/>
      <c r="H246" s="414"/>
      <c r="I246" s="415"/>
      <c r="J246" s="413"/>
      <c r="K246" s="415"/>
      <c r="L246" s="416"/>
      <c r="M246" s="414"/>
      <c r="R246" s="394">
        <f t="shared" si="44"/>
        <v>94.888888888889255</v>
      </c>
    </row>
    <row r="247" spans="1:18" ht="14.25">
      <c r="A247" s="413"/>
      <c r="B247" s="413"/>
      <c r="C247" s="414"/>
      <c r="D247" s="413"/>
      <c r="E247" s="414"/>
      <c r="F247" s="414"/>
      <c r="G247" s="414"/>
      <c r="H247" s="414"/>
      <c r="I247" s="415"/>
      <c r="J247" s="413"/>
      <c r="K247" s="415"/>
      <c r="L247" s="416"/>
      <c r="M247" s="414"/>
      <c r="R247" s="394">
        <f t="shared" si="44"/>
        <v>95.277777777778141</v>
      </c>
    </row>
    <row r="248" spans="1:18" ht="14.25">
      <c r="A248" s="413"/>
      <c r="B248" s="413"/>
      <c r="C248" s="414"/>
      <c r="D248" s="413"/>
      <c r="E248" s="414"/>
      <c r="F248" s="414"/>
      <c r="G248" s="414"/>
      <c r="H248" s="414"/>
      <c r="I248" s="415"/>
      <c r="J248" s="413"/>
      <c r="K248" s="415"/>
      <c r="L248" s="416"/>
      <c r="M248" s="414"/>
      <c r="R248" s="394">
        <f t="shared" si="44"/>
        <v>95.666666666667027</v>
      </c>
    </row>
    <row r="249" spans="1:18" ht="14.25">
      <c r="A249" s="413"/>
      <c r="B249" s="413"/>
      <c r="C249" s="414"/>
      <c r="D249" s="413"/>
      <c r="E249" s="414"/>
      <c r="F249" s="414"/>
      <c r="G249" s="414"/>
      <c r="H249" s="414"/>
      <c r="I249" s="415"/>
      <c r="J249" s="413"/>
      <c r="K249" s="415"/>
      <c r="L249" s="416"/>
      <c r="M249" s="414"/>
      <c r="R249" s="394">
        <f t="shared" si="44"/>
        <v>96.055555555555912</v>
      </c>
    </row>
    <row r="250" spans="1:18" ht="14.25">
      <c r="A250" s="413"/>
      <c r="B250" s="413"/>
      <c r="C250" s="414"/>
      <c r="D250" s="413"/>
      <c r="E250" s="414"/>
      <c r="F250" s="414"/>
      <c r="G250" s="414"/>
      <c r="H250" s="414"/>
      <c r="I250" s="415"/>
      <c r="J250" s="413"/>
      <c r="K250" s="415"/>
      <c r="L250" s="416"/>
      <c r="M250" s="414"/>
      <c r="R250" s="394">
        <f t="shared" si="44"/>
        <v>96.444444444444798</v>
      </c>
    </row>
    <row r="251" spans="1:18" ht="14.25">
      <c r="A251" s="413"/>
      <c r="B251" s="413"/>
      <c r="C251" s="414"/>
      <c r="D251" s="413"/>
      <c r="E251" s="414"/>
      <c r="F251" s="414"/>
      <c r="G251" s="414"/>
      <c r="H251" s="414"/>
      <c r="I251" s="415"/>
      <c r="J251" s="413"/>
      <c r="K251" s="415"/>
      <c r="L251" s="416"/>
      <c r="M251" s="414"/>
      <c r="R251" s="394">
        <f t="shared" si="44"/>
        <v>96.833333333333684</v>
      </c>
    </row>
    <row r="252" spans="1:18" ht="14.25">
      <c r="A252" s="413"/>
      <c r="B252" s="413"/>
      <c r="C252" s="414"/>
      <c r="D252" s="413"/>
      <c r="E252" s="414"/>
      <c r="F252" s="414"/>
      <c r="G252" s="414"/>
      <c r="H252" s="414"/>
      <c r="I252" s="415"/>
      <c r="J252" s="413"/>
      <c r="K252" s="415"/>
      <c r="L252" s="416"/>
      <c r="M252" s="414"/>
      <c r="R252" s="394">
        <f t="shared" si="44"/>
        <v>97.22222222222257</v>
      </c>
    </row>
    <row r="253" spans="1:18" ht="14.25">
      <c r="A253" s="413"/>
      <c r="B253" s="413"/>
      <c r="C253" s="414"/>
      <c r="D253" s="413"/>
      <c r="E253" s="414"/>
      <c r="F253" s="414"/>
      <c r="G253" s="414"/>
      <c r="H253" s="414"/>
      <c r="I253" s="415"/>
      <c r="J253" s="413"/>
      <c r="K253" s="415"/>
      <c r="L253" s="416"/>
      <c r="M253" s="414"/>
      <c r="R253" s="394">
        <f t="shared" si="44"/>
        <v>97.611111111111455</v>
      </c>
    </row>
    <row r="254" spans="1:18" ht="14.25">
      <c r="A254" s="413"/>
      <c r="B254" s="413"/>
      <c r="C254" s="414"/>
      <c r="D254" s="413"/>
      <c r="E254" s="414"/>
      <c r="F254" s="414"/>
      <c r="G254" s="414"/>
      <c r="H254" s="414"/>
      <c r="I254" s="415"/>
      <c r="J254" s="413"/>
      <c r="K254" s="415"/>
      <c r="L254" s="416"/>
      <c r="M254" s="414"/>
      <c r="R254" s="394">
        <f t="shared" si="44"/>
        <v>98.000000000000341</v>
      </c>
    </row>
    <row r="255" spans="1:18" ht="14.25">
      <c r="A255" s="413"/>
      <c r="B255" s="413"/>
      <c r="C255" s="414"/>
      <c r="D255" s="413"/>
      <c r="E255" s="414"/>
      <c r="F255" s="414"/>
      <c r="G255" s="414"/>
      <c r="H255" s="414"/>
      <c r="I255" s="415"/>
      <c r="J255" s="413"/>
      <c r="K255" s="415"/>
      <c r="L255" s="416"/>
      <c r="M255" s="414"/>
      <c r="R255" s="394">
        <f t="shared" si="44"/>
        <v>98.388888888889227</v>
      </c>
    </row>
    <row r="256" spans="1:18" ht="14.25">
      <c r="A256" s="413"/>
      <c r="B256" s="413"/>
      <c r="C256" s="414"/>
      <c r="D256" s="413"/>
      <c r="E256" s="414"/>
      <c r="F256" s="414"/>
      <c r="G256" s="414"/>
      <c r="H256" s="414"/>
      <c r="I256" s="415"/>
      <c r="J256" s="413"/>
      <c r="K256" s="415"/>
      <c r="L256" s="416"/>
      <c r="M256" s="414"/>
      <c r="R256" s="394">
        <f t="shared" si="44"/>
        <v>98.777777777778113</v>
      </c>
    </row>
    <row r="257" spans="1:18" ht="14.25">
      <c r="A257" s="413"/>
      <c r="B257" s="413"/>
      <c r="C257" s="414"/>
      <c r="D257" s="413"/>
      <c r="E257" s="414"/>
      <c r="F257" s="414"/>
      <c r="G257" s="414"/>
      <c r="H257" s="414"/>
      <c r="I257" s="415"/>
      <c r="J257" s="413"/>
      <c r="K257" s="415"/>
      <c r="L257" s="416"/>
      <c r="M257" s="414"/>
      <c r="R257" s="394">
        <f t="shared" si="44"/>
        <v>99.166666666666998</v>
      </c>
    </row>
    <row r="258" spans="1:18" ht="14.25">
      <c r="A258" s="413"/>
      <c r="B258" s="413"/>
      <c r="C258" s="414"/>
      <c r="D258" s="413"/>
      <c r="E258" s="414"/>
      <c r="F258" s="414"/>
      <c r="G258" s="414"/>
      <c r="H258" s="414"/>
      <c r="I258" s="415"/>
      <c r="J258" s="413"/>
      <c r="K258" s="415"/>
      <c r="L258" s="416"/>
      <c r="M258" s="414"/>
      <c r="R258" s="394">
        <f t="shared" ref="R258:R321" si="49">R259-(R$362*0.2/72)</f>
        <v>99.555555555555884</v>
      </c>
    </row>
    <row r="259" spans="1:18" ht="14.25">
      <c r="A259" s="413"/>
      <c r="B259" s="413"/>
      <c r="C259" s="414"/>
      <c r="D259" s="413"/>
      <c r="E259" s="414"/>
      <c r="F259" s="414"/>
      <c r="G259" s="414"/>
      <c r="H259" s="414"/>
      <c r="I259" s="415"/>
      <c r="J259" s="413"/>
      <c r="K259" s="415"/>
      <c r="L259" s="416"/>
      <c r="M259" s="414"/>
      <c r="R259" s="394">
        <f t="shared" si="49"/>
        <v>99.94444444444477</v>
      </c>
    </row>
    <row r="260" spans="1:18" ht="14.25">
      <c r="A260" s="413"/>
      <c r="B260" s="413"/>
      <c r="C260" s="414"/>
      <c r="D260" s="413"/>
      <c r="E260" s="414"/>
      <c r="F260" s="414"/>
      <c r="G260" s="414"/>
      <c r="H260" s="414"/>
      <c r="I260" s="415"/>
      <c r="J260" s="413"/>
      <c r="K260" s="415"/>
      <c r="L260" s="416"/>
      <c r="M260" s="414"/>
      <c r="R260" s="394">
        <f t="shared" si="49"/>
        <v>100.33333333333366</v>
      </c>
    </row>
    <row r="261" spans="1:18" ht="14.25">
      <c r="A261" s="413"/>
      <c r="B261" s="413"/>
      <c r="C261" s="414"/>
      <c r="D261" s="413"/>
      <c r="E261" s="414"/>
      <c r="F261" s="414"/>
      <c r="G261" s="414"/>
      <c r="H261" s="414"/>
      <c r="I261" s="415"/>
      <c r="J261" s="413"/>
      <c r="K261" s="415"/>
      <c r="L261" s="416"/>
      <c r="M261" s="414"/>
      <c r="R261" s="394">
        <f t="shared" si="49"/>
        <v>100.72222222222254</v>
      </c>
    </row>
    <row r="262" spans="1:18" ht="14.25">
      <c r="A262" s="413"/>
      <c r="B262" s="413"/>
      <c r="C262" s="414"/>
      <c r="D262" s="413"/>
      <c r="E262" s="414"/>
      <c r="F262" s="414"/>
      <c r="G262" s="414"/>
      <c r="H262" s="414"/>
      <c r="I262" s="415"/>
      <c r="J262" s="413"/>
      <c r="K262" s="415"/>
      <c r="L262" s="416"/>
      <c r="M262" s="414"/>
      <c r="R262" s="394">
        <f t="shared" si="49"/>
        <v>101.11111111111143</v>
      </c>
    </row>
    <row r="263" spans="1:18" ht="14.25">
      <c r="A263" s="413"/>
      <c r="B263" s="413"/>
      <c r="C263" s="414"/>
      <c r="D263" s="413"/>
      <c r="E263" s="414"/>
      <c r="F263" s="414"/>
      <c r="G263" s="414"/>
      <c r="H263" s="414"/>
      <c r="I263" s="415"/>
      <c r="J263" s="413"/>
      <c r="K263" s="415"/>
      <c r="L263" s="416"/>
      <c r="M263" s="414"/>
      <c r="R263" s="394">
        <f t="shared" si="49"/>
        <v>101.50000000000031</v>
      </c>
    </row>
    <row r="264" spans="1:18" ht="14.25">
      <c r="A264" s="413"/>
      <c r="B264" s="413"/>
      <c r="C264" s="414"/>
      <c r="D264" s="413"/>
      <c r="E264" s="414"/>
      <c r="F264" s="414"/>
      <c r="G264" s="414"/>
      <c r="H264" s="414"/>
      <c r="I264" s="415"/>
      <c r="J264" s="413"/>
      <c r="K264" s="415"/>
      <c r="L264" s="416"/>
      <c r="M264" s="414"/>
      <c r="R264" s="394">
        <f t="shared" si="49"/>
        <v>101.8888888888892</v>
      </c>
    </row>
    <row r="265" spans="1:18" ht="14.25">
      <c r="A265" s="413"/>
      <c r="B265" s="413"/>
      <c r="C265" s="414"/>
      <c r="D265" s="413"/>
      <c r="E265" s="414"/>
      <c r="F265" s="414"/>
      <c r="G265" s="414"/>
      <c r="H265" s="414"/>
      <c r="I265" s="415"/>
      <c r="J265" s="413"/>
      <c r="K265" s="415"/>
      <c r="L265" s="416"/>
      <c r="M265" s="414"/>
      <c r="R265" s="394">
        <f t="shared" si="49"/>
        <v>102.27777777777808</v>
      </c>
    </row>
    <row r="266" spans="1:18" ht="14.25">
      <c r="A266" s="413"/>
      <c r="B266" s="413"/>
      <c r="C266" s="414"/>
      <c r="D266" s="413"/>
      <c r="E266" s="414"/>
      <c r="F266" s="414"/>
      <c r="G266" s="414"/>
      <c r="H266" s="414"/>
      <c r="I266" s="415"/>
      <c r="J266" s="413"/>
      <c r="K266" s="415"/>
      <c r="L266" s="416"/>
      <c r="M266" s="414"/>
      <c r="R266" s="394">
        <f t="shared" si="49"/>
        <v>102.66666666666697</v>
      </c>
    </row>
    <row r="267" spans="1:18" ht="14.25">
      <c r="A267" s="413"/>
      <c r="B267" s="413"/>
      <c r="C267" s="414"/>
      <c r="D267" s="413"/>
      <c r="E267" s="414"/>
      <c r="F267" s="414"/>
      <c r="G267" s="414"/>
      <c r="H267" s="414"/>
      <c r="I267" s="415"/>
      <c r="J267" s="413"/>
      <c r="K267" s="415"/>
      <c r="L267" s="416"/>
      <c r="M267" s="414"/>
      <c r="R267" s="394">
        <f t="shared" si="49"/>
        <v>103.05555555555586</v>
      </c>
    </row>
    <row r="268" spans="1:18" ht="14.25">
      <c r="A268" s="413"/>
      <c r="B268" s="413"/>
      <c r="C268" s="414"/>
      <c r="D268" s="413"/>
      <c r="E268" s="414"/>
      <c r="F268" s="414"/>
      <c r="G268" s="414"/>
      <c r="H268" s="414"/>
      <c r="I268" s="415"/>
      <c r="J268" s="413"/>
      <c r="K268" s="415"/>
      <c r="L268" s="416"/>
      <c r="M268" s="414"/>
      <c r="R268" s="394">
        <f t="shared" si="49"/>
        <v>103.44444444444474</v>
      </c>
    </row>
    <row r="269" spans="1:18" ht="14.25">
      <c r="A269" s="413"/>
      <c r="B269" s="413"/>
      <c r="C269" s="414"/>
      <c r="D269" s="413"/>
      <c r="E269" s="414"/>
      <c r="F269" s="414"/>
      <c r="G269" s="414"/>
      <c r="H269" s="414"/>
      <c r="I269" s="415"/>
      <c r="J269" s="413"/>
      <c r="K269" s="415"/>
      <c r="L269" s="416"/>
      <c r="M269" s="414"/>
      <c r="R269" s="394">
        <f t="shared" si="49"/>
        <v>103.83333333333363</v>
      </c>
    </row>
    <row r="270" spans="1:18" ht="14.25">
      <c r="A270" s="413"/>
      <c r="B270" s="413"/>
      <c r="C270" s="414"/>
      <c r="D270" s="413"/>
      <c r="E270" s="414"/>
      <c r="F270" s="414"/>
      <c r="G270" s="414"/>
      <c r="H270" s="414"/>
      <c r="I270" s="415"/>
      <c r="J270" s="413"/>
      <c r="K270" s="415"/>
      <c r="L270" s="416"/>
      <c r="M270" s="414"/>
      <c r="R270" s="394">
        <f t="shared" si="49"/>
        <v>104.22222222222251</v>
      </c>
    </row>
    <row r="271" spans="1:18" ht="14.25">
      <c r="A271" s="413"/>
      <c r="B271" s="413"/>
      <c r="C271" s="414"/>
      <c r="D271" s="413"/>
      <c r="E271" s="414"/>
      <c r="F271" s="414"/>
      <c r="G271" s="414"/>
      <c r="H271" s="414"/>
      <c r="I271" s="415"/>
      <c r="J271" s="413"/>
      <c r="K271" s="415"/>
      <c r="L271" s="416"/>
      <c r="M271" s="414"/>
      <c r="R271" s="394">
        <f t="shared" si="49"/>
        <v>104.6111111111114</v>
      </c>
    </row>
    <row r="272" spans="1:18" ht="14.25">
      <c r="A272" s="413"/>
      <c r="B272" s="413"/>
      <c r="C272" s="414"/>
      <c r="D272" s="413"/>
      <c r="E272" s="414"/>
      <c r="F272" s="414"/>
      <c r="G272" s="414"/>
      <c r="H272" s="414"/>
      <c r="I272" s="415"/>
      <c r="J272" s="413"/>
      <c r="K272" s="415"/>
      <c r="L272" s="416"/>
      <c r="M272" s="414"/>
      <c r="R272" s="394">
        <f t="shared" si="49"/>
        <v>105.00000000000028</v>
      </c>
    </row>
    <row r="273" spans="1:18" ht="14.25">
      <c r="A273" s="413"/>
      <c r="B273" s="413"/>
      <c r="C273" s="414"/>
      <c r="D273" s="413"/>
      <c r="E273" s="414"/>
      <c r="F273" s="414"/>
      <c r="G273" s="414"/>
      <c r="H273" s="414"/>
      <c r="I273" s="415"/>
      <c r="J273" s="413"/>
      <c r="K273" s="415"/>
      <c r="L273" s="416"/>
      <c r="M273" s="414"/>
      <c r="R273" s="394">
        <f t="shared" si="49"/>
        <v>105.38888888888917</v>
      </c>
    </row>
    <row r="274" spans="1:18" ht="14.25">
      <c r="A274" s="413"/>
      <c r="B274" s="413"/>
      <c r="C274" s="414"/>
      <c r="D274" s="413"/>
      <c r="E274" s="414"/>
      <c r="F274" s="414"/>
      <c r="G274" s="414"/>
      <c r="H274" s="414"/>
      <c r="I274" s="415"/>
      <c r="J274" s="413"/>
      <c r="K274" s="415"/>
      <c r="L274" s="416"/>
      <c r="M274" s="414"/>
      <c r="R274" s="394">
        <f t="shared" si="49"/>
        <v>105.77777777777806</v>
      </c>
    </row>
    <row r="275" spans="1:18" ht="14.25">
      <c r="A275" s="413"/>
      <c r="B275" s="413"/>
      <c r="C275" s="414"/>
      <c r="D275" s="413"/>
      <c r="E275" s="414"/>
      <c r="F275" s="414"/>
      <c r="G275" s="414"/>
      <c r="H275" s="414"/>
      <c r="I275" s="415"/>
      <c r="J275" s="413"/>
      <c r="K275" s="415"/>
      <c r="L275" s="416"/>
      <c r="M275" s="414"/>
      <c r="R275" s="394">
        <f t="shared" si="49"/>
        <v>106.16666666666694</v>
      </c>
    </row>
    <row r="276" spans="1:18" ht="14.25">
      <c r="A276" s="413"/>
      <c r="B276" s="413"/>
      <c r="C276" s="414"/>
      <c r="D276" s="413"/>
      <c r="E276" s="414"/>
      <c r="F276" s="414"/>
      <c r="G276" s="414"/>
      <c r="H276" s="414"/>
      <c r="I276" s="415"/>
      <c r="J276" s="413"/>
      <c r="K276" s="415"/>
      <c r="L276" s="416"/>
      <c r="M276" s="414"/>
      <c r="R276" s="394">
        <f t="shared" si="49"/>
        <v>106.55555555555583</v>
      </c>
    </row>
    <row r="277" spans="1:18" ht="14.25">
      <c r="A277" s="413"/>
      <c r="B277" s="413"/>
      <c r="C277" s="414"/>
      <c r="D277" s="413"/>
      <c r="E277" s="414"/>
      <c r="F277" s="414"/>
      <c r="G277" s="414"/>
      <c r="H277" s="414"/>
      <c r="I277" s="415"/>
      <c r="J277" s="413"/>
      <c r="K277" s="415"/>
      <c r="L277" s="416"/>
      <c r="M277" s="414"/>
      <c r="R277" s="394">
        <f t="shared" si="49"/>
        <v>106.94444444444471</v>
      </c>
    </row>
    <row r="278" spans="1:18" ht="14.25">
      <c r="A278" s="413"/>
      <c r="B278" s="413"/>
      <c r="C278" s="414"/>
      <c r="D278" s="413"/>
      <c r="E278" s="414"/>
      <c r="F278" s="414"/>
      <c r="G278" s="414"/>
      <c r="H278" s="414"/>
      <c r="I278" s="415"/>
      <c r="J278" s="413"/>
      <c r="K278" s="415"/>
      <c r="L278" s="416"/>
      <c r="M278" s="414"/>
      <c r="R278" s="394">
        <f t="shared" si="49"/>
        <v>107.3333333333336</v>
      </c>
    </row>
    <row r="279" spans="1:18" ht="14.25">
      <c r="A279" s="413"/>
      <c r="B279" s="413"/>
      <c r="C279" s="414"/>
      <c r="D279" s="413"/>
      <c r="E279" s="414"/>
      <c r="F279" s="414"/>
      <c r="G279" s="414"/>
      <c r="H279" s="414"/>
      <c r="I279" s="415"/>
      <c r="J279" s="413"/>
      <c r="K279" s="415"/>
      <c r="L279" s="416"/>
      <c r="M279" s="414"/>
      <c r="R279" s="394">
        <f t="shared" si="49"/>
        <v>107.72222222222248</v>
      </c>
    </row>
    <row r="280" spans="1:18" ht="14.25">
      <c r="A280" s="413"/>
      <c r="B280" s="413"/>
      <c r="C280" s="414"/>
      <c r="D280" s="413"/>
      <c r="E280" s="414"/>
      <c r="F280" s="414"/>
      <c r="G280" s="414"/>
      <c r="H280" s="414"/>
      <c r="I280" s="415"/>
      <c r="J280" s="413"/>
      <c r="K280" s="415"/>
      <c r="L280" s="416"/>
      <c r="M280" s="414"/>
      <c r="R280" s="394">
        <f t="shared" si="49"/>
        <v>108.11111111111137</v>
      </c>
    </row>
    <row r="281" spans="1:18" ht="14.25">
      <c r="A281" s="413"/>
      <c r="B281" s="413"/>
      <c r="C281" s="414"/>
      <c r="D281" s="413"/>
      <c r="E281" s="414"/>
      <c r="F281" s="414"/>
      <c r="G281" s="414"/>
      <c r="H281" s="414"/>
      <c r="I281" s="415"/>
      <c r="J281" s="413"/>
      <c r="K281" s="415"/>
      <c r="L281" s="416"/>
      <c r="M281" s="414"/>
      <c r="R281" s="394">
        <f t="shared" si="49"/>
        <v>108.50000000000026</v>
      </c>
    </row>
    <row r="282" spans="1:18" ht="14.25">
      <c r="A282" s="413"/>
      <c r="B282" s="413"/>
      <c r="C282" s="414"/>
      <c r="D282" s="413"/>
      <c r="E282" s="414"/>
      <c r="F282" s="414"/>
      <c r="G282" s="414"/>
      <c r="H282" s="414"/>
      <c r="I282" s="415"/>
      <c r="J282" s="413"/>
      <c r="K282" s="415"/>
      <c r="L282" s="416"/>
      <c r="M282" s="414"/>
      <c r="R282" s="394">
        <f t="shared" si="49"/>
        <v>108.88888888888914</v>
      </c>
    </row>
    <row r="283" spans="1:18" ht="14.25">
      <c r="A283" s="413"/>
      <c r="B283" s="413"/>
      <c r="C283" s="414"/>
      <c r="D283" s="413"/>
      <c r="E283" s="414"/>
      <c r="F283" s="414"/>
      <c r="G283" s="414"/>
      <c r="H283" s="414"/>
      <c r="I283" s="415"/>
      <c r="J283" s="413"/>
      <c r="K283" s="415"/>
      <c r="L283" s="416"/>
      <c r="M283" s="414"/>
      <c r="R283" s="394">
        <f t="shared" si="49"/>
        <v>109.27777777777803</v>
      </c>
    </row>
    <row r="284" spans="1:18" ht="14.25">
      <c r="A284" s="413"/>
      <c r="B284" s="413"/>
      <c r="C284" s="414"/>
      <c r="D284" s="413"/>
      <c r="E284" s="414"/>
      <c r="F284" s="414"/>
      <c r="G284" s="414"/>
      <c r="H284" s="414"/>
      <c r="I284" s="415"/>
      <c r="J284" s="413"/>
      <c r="K284" s="415"/>
      <c r="L284" s="416"/>
      <c r="M284" s="414"/>
      <c r="R284" s="394">
        <f t="shared" si="49"/>
        <v>109.66666666666691</v>
      </c>
    </row>
    <row r="285" spans="1:18" ht="14.25">
      <c r="A285" s="413"/>
      <c r="B285" s="413"/>
      <c r="C285" s="414"/>
      <c r="D285" s="413"/>
      <c r="E285" s="414"/>
      <c r="F285" s="414"/>
      <c r="G285" s="414"/>
      <c r="H285" s="414"/>
      <c r="I285" s="415"/>
      <c r="J285" s="413"/>
      <c r="K285" s="415"/>
      <c r="L285" s="416"/>
      <c r="M285" s="414"/>
      <c r="R285" s="394">
        <f t="shared" si="49"/>
        <v>110.0555555555558</v>
      </c>
    </row>
    <row r="286" spans="1:18" ht="14.25">
      <c r="A286" s="413"/>
      <c r="B286" s="413"/>
      <c r="C286" s="414"/>
      <c r="D286" s="413"/>
      <c r="E286" s="414"/>
      <c r="F286" s="414"/>
      <c r="G286" s="414"/>
      <c r="H286" s="414"/>
      <c r="I286" s="415"/>
      <c r="J286" s="413"/>
      <c r="K286" s="415"/>
      <c r="L286" s="416"/>
      <c r="M286" s="414"/>
      <c r="R286" s="394">
        <f t="shared" si="49"/>
        <v>110.44444444444468</v>
      </c>
    </row>
    <row r="287" spans="1:18" ht="14.25">
      <c r="A287" s="413"/>
      <c r="B287" s="413"/>
      <c r="C287" s="414"/>
      <c r="D287" s="413"/>
      <c r="E287" s="414"/>
      <c r="F287" s="414"/>
      <c r="G287" s="414"/>
      <c r="H287" s="414"/>
      <c r="I287" s="415"/>
      <c r="J287" s="413"/>
      <c r="K287" s="415"/>
      <c r="L287" s="416"/>
      <c r="M287" s="414"/>
      <c r="R287" s="394">
        <f t="shared" si="49"/>
        <v>110.83333333333357</v>
      </c>
    </row>
    <row r="288" spans="1:18" ht="14.25">
      <c r="A288" s="413"/>
      <c r="B288" s="413"/>
      <c r="C288" s="414"/>
      <c r="D288" s="413"/>
      <c r="E288" s="414"/>
      <c r="F288" s="414"/>
      <c r="G288" s="414"/>
      <c r="H288" s="414"/>
      <c r="I288" s="415"/>
      <c r="J288" s="413"/>
      <c r="K288" s="415"/>
      <c r="L288" s="416"/>
      <c r="M288" s="414"/>
      <c r="R288" s="394">
        <f t="shared" si="49"/>
        <v>111.22222222222246</v>
      </c>
    </row>
    <row r="289" spans="1:18" ht="14.25">
      <c r="A289" s="413"/>
      <c r="B289" s="413"/>
      <c r="C289" s="414"/>
      <c r="D289" s="413"/>
      <c r="E289" s="414"/>
      <c r="F289" s="414"/>
      <c r="G289" s="414"/>
      <c r="H289" s="414"/>
      <c r="I289" s="415"/>
      <c r="J289" s="413"/>
      <c r="K289" s="415"/>
      <c r="L289" s="416"/>
      <c r="M289" s="414"/>
      <c r="R289" s="394">
        <f t="shared" si="49"/>
        <v>111.61111111111134</v>
      </c>
    </row>
    <row r="290" spans="1:18" ht="14.25">
      <c r="A290" s="413"/>
      <c r="B290" s="413"/>
      <c r="C290" s="414"/>
      <c r="D290" s="413"/>
      <c r="E290" s="414"/>
      <c r="F290" s="414"/>
      <c r="G290" s="414"/>
      <c r="H290" s="414"/>
      <c r="I290" s="415"/>
      <c r="J290" s="413"/>
      <c r="K290" s="415"/>
      <c r="L290" s="416"/>
      <c r="M290" s="414"/>
      <c r="R290" s="394">
        <f t="shared" si="49"/>
        <v>112.00000000000023</v>
      </c>
    </row>
    <row r="291" spans="1:18" ht="14.25">
      <c r="A291" s="413"/>
      <c r="B291" s="413"/>
      <c r="C291" s="414"/>
      <c r="D291" s="413"/>
      <c r="E291" s="414"/>
      <c r="F291" s="414"/>
      <c r="G291" s="414"/>
      <c r="H291" s="414"/>
      <c r="I291" s="415"/>
      <c r="J291" s="413"/>
      <c r="K291" s="415"/>
      <c r="L291" s="416"/>
      <c r="M291" s="414"/>
      <c r="R291" s="394">
        <f t="shared" si="49"/>
        <v>112.38888888888911</v>
      </c>
    </row>
    <row r="292" spans="1:18" ht="14.25">
      <c r="A292" s="413"/>
      <c r="B292" s="413"/>
      <c r="C292" s="414"/>
      <c r="D292" s="413"/>
      <c r="E292" s="414"/>
      <c r="F292" s="414"/>
      <c r="G292" s="414"/>
      <c r="H292" s="414"/>
      <c r="I292" s="415"/>
      <c r="J292" s="413"/>
      <c r="K292" s="415"/>
      <c r="L292" s="416"/>
      <c r="M292" s="414"/>
      <c r="R292" s="394">
        <f t="shared" si="49"/>
        <v>112.777777777778</v>
      </c>
    </row>
    <row r="293" spans="1:18" ht="14.25">
      <c r="A293" s="413"/>
      <c r="B293" s="413"/>
      <c r="C293" s="414"/>
      <c r="D293" s="413"/>
      <c r="E293" s="414"/>
      <c r="F293" s="414"/>
      <c r="G293" s="414"/>
      <c r="H293" s="414"/>
      <c r="I293" s="415"/>
      <c r="J293" s="413"/>
      <c r="K293" s="415"/>
      <c r="L293" s="416"/>
      <c r="M293" s="414"/>
      <c r="R293" s="394">
        <f t="shared" si="49"/>
        <v>113.16666666666688</v>
      </c>
    </row>
    <row r="294" spans="1:18" ht="14.25">
      <c r="A294" s="413"/>
      <c r="B294" s="413"/>
      <c r="C294" s="414"/>
      <c r="D294" s="413"/>
      <c r="E294" s="414"/>
      <c r="F294" s="414"/>
      <c r="G294" s="414"/>
      <c r="H294" s="414"/>
      <c r="I294" s="415"/>
      <c r="J294" s="413"/>
      <c r="K294" s="415"/>
      <c r="L294" s="416"/>
      <c r="M294" s="414"/>
      <c r="R294" s="394">
        <f t="shared" si="49"/>
        <v>113.55555555555577</v>
      </c>
    </row>
    <row r="295" spans="1:18" ht="14.25">
      <c r="A295" s="413"/>
      <c r="B295" s="413"/>
      <c r="C295" s="414"/>
      <c r="D295" s="413"/>
      <c r="E295" s="414"/>
      <c r="F295" s="414"/>
      <c r="G295" s="414"/>
      <c r="H295" s="414"/>
      <c r="I295" s="415"/>
      <c r="J295" s="413"/>
      <c r="K295" s="415"/>
      <c r="L295" s="416"/>
      <c r="M295" s="414"/>
      <c r="R295" s="394">
        <f t="shared" si="49"/>
        <v>113.94444444444466</v>
      </c>
    </row>
    <row r="296" spans="1:18" ht="14.25">
      <c r="A296" s="413"/>
      <c r="B296" s="413"/>
      <c r="C296" s="414"/>
      <c r="D296" s="413"/>
      <c r="E296" s="414"/>
      <c r="F296" s="414"/>
      <c r="G296" s="414"/>
      <c r="H296" s="414"/>
      <c r="I296" s="415"/>
      <c r="J296" s="413"/>
      <c r="K296" s="415"/>
      <c r="L296" s="416"/>
      <c r="M296" s="414"/>
      <c r="R296" s="394">
        <f t="shared" si="49"/>
        <v>114.33333333333354</v>
      </c>
    </row>
    <row r="297" spans="1:18" ht="14.25">
      <c r="A297" s="413"/>
      <c r="B297" s="413"/>
      <c r="C297" s="414"/>
      <c r="D297" s="413"/>
      <c r="E297" s="414"/>
      <c r="F297" s="414"/>
      <c r="G297" s="414"/>
      <c r="H297" s="414"/>
      <c r="I297" s="415"/>
      <c r="J297" s="413"/>
      <c r="K297" s="415"/>
      <c r="L297" s="416"/>
      <c r="M297" s="414"/>
      <c r="R297" s="394">
        <f t="shared" si="49"/>
        <v>114.72222222222243</v>
      </c>
    </row>
    <row r="298" spans="1:18" ht="14.25">
      <c r="A298" s="413"/>
      <c r="B298" s="413"/>
      <c r="C298" s="414"/>
      <c r="D298" s="413"/>
      <c r="E298" s="414"/>
      <c r="F298" s="414"/>
      <c r="G298" s="414"/>
      <c r="H298" s="414"/>
      <c r="I298" s="415"/>
      <c r="J298" s="413"/>
      <c r="K298" s="415"/>
      <c r="L298" s="416"/>
      <c r="M298" s="414"/>
      <c r="R298" s="394">
        <f t="shared" si="49"/>
        <v>115.11111111111131</v>
      </c>
    </row>
    <row r="299" spans="1:18" ht="14.25">
      <c r="A299" s="413"/>
      <c r="B299" s="413"/>
      <c r="C299" s="414"/>
      <c r="D299" s="413"/>
      <c r="E299" s="414"/>
      <c r="F299" s="414"/>
      <c r="G299" s="414"/>
      <c r="H299" s="414"/>
      <c r="I299" s="415"/>
      <c r="J299" s="413"/>
      <c r="K299" s="415"/>
      <c r="L299" s="416"/>
      <c r="M299" s="414"/>
      <c r="R299" s="394">
        <f t="shared" si="49"/>
        <v>115.5000000000002</v>
      </c>
    </row>
    <row r="300" spans="1:18" ht="14.25">
      <c r="A300" s="413"/>
      <c r="B300" s="413"/>
      <c r="C300" s="414"/>
      <c r="D300" s="413"/>
      <c r="E300" s="414"/>
      <c r="F300" s="414"/>
      <c r="G300" s="414"/>
      <c r="H300" s="414"/>
      <c r="I300" s="415"/>
      <c r="J300" s="413"/>
      <c r="K300" s="415"/>
      <c r="L300" s="416"/>
      <c r="M300" s="414"/>
      <c r="R300" s="394">
        <f t="shared" si="49"/>
        <v>115.88888888888908</v>
      </c>
    </row>
    <row r="301" spans="1:18" ht="14.25">
      <c r="A301" s="413"/>
      <c r="B301" s="413"/>
      <c r="C301" s="414"/>
      <c r="D301" s="413"/>
      <c r="E301" s="414"/>
      <c r="F301" s="414"/>
      <c r="G301" s="414"/>
      <c r="H301" s="414"/>
      <c r="I301" s="415"/>
      <c r="J301" s="413"/>
      <c r="K301" s="415"/>
      <c r="L301" s="416"/>
      <c r="M301" s="414"/>
      <c r="R301" s="394">
        <f t="shared" si="49"/>
        <v>116.27777777777797</v>
      </c>
    </row>
    <row r="302" spans="1:18" ht="14.25">
      <c r="A302" s="413"/>
      <c r="B302" s="413"/>
      <c r="C302" s="414"/>
      <c r="D302" s="413"/>
      <c r="E302" s="414"/>
      <c r="F302" s="414"/>
      <c r="G302" s="414"/>
      <c r="H302" s="414"/>
      <c r="I302" s="415"/>
      <c r="J302" s="413"/>
      <c r="K302" s="415"/>
      <c r="L302" s="416"/>
      <c r="M302" s="414"/>
      <c r="R302" s="394">
        <f t="shared" si="49"/>
        <v>116.66666666666686</v>
      </c>
    </row>
    <row r="303" spans="1:18" ht="14.25">
      <c r="A303" s="413"/>
      <c r="B303" s="413"/>
      <c r="C303" s="414"/>
      <c r="D303" s="413"/>
      <c r="E303" s="414"/>
      <c r="F303" s="414"/>
      <c r="G303" s="414"/>
      <c r="H303" s="414"/>
      <c r="I303" s="415"/>
      <c r="J303" s="413"/>
      <c r="K303" s="415"/>
      <c r="L303" s="416"/>
      <c r="M303" s="414"/>
      <c r="R303" s="394">
        <f t="shared" si="49"/>
        <v>117.05555555555574</v>
      </c>
    </row>
    <row r="304" spans="1:18" ht="14.25">
      <c r="A304" s="413"/>
      <c r="B304" s="413"/>
      <c r="C304" s="414"/>
      <c r="D304" s="413"/>
      <c r="E304" s="414"/>
      <c r="F304" s="414"/>
      <c r="G304" s="414"/>
      <c r="H304" s="414"/>
      <c r="I304" s="415"/>
      <c r="J304" s="413"/>
      <c r="K304" s="415"/>
      <c r="L304" s="416"/>
      <c r="M304" s="414"/>
      <c r="R304" s="394">
        <f t="shared" si="49"/>
        <v>117.44444444444463</v>
      </c>
    </row>
    <row r="305" spans="1:18" ht="14.25">
      <c r="A305" s="413"/>
      <c r="B305" s="413"/>
      <c r="C305" s="414"/>
      <c r="D305" s="413"/>
      <c r="E305" s="414"/>
      <c r="F305" s="414"/>
      <c r="G305" s="414"/>
      <c r="H305" s="414"/>
      <c r="I305" s="415"/>
      <c r="J305" s="413"/>
      <c r="K305" s="415"/>
      <c r="L305" s="416"/>
      <c r="M305" s="414"/>
      <c r="R305" s="394">
        <f t="shared" si="49"/>
        <v>117.83333333333351</v>
      </c>
    </row>
    <row r="306" spans="1:18" ht="14.25">
      <c r="A306" s="413"/>
      <c r="B306" s="413"/>
      <c r="C306" s="414"/>
      <c r="D306" s="413"/>
      <c r="E306" s="414"/>
      <c r="F306" s="414"/>
      <c r="G306" s="414"/>
      <c r="H306" s="414"/>
      <c r="I306" s="415"/>
      <c r="J306" s="413"/>
      <c r="K306" s="415"/>
      <c r="L306" s="416"/>
      <c r="M306" s="414"/>
      <c r="R306" s="394">
        <f t="shared" si="49"/>
        <v>118.2222222222224</v>
      </c>
    </row>
    <row r="307" spans="1:18" ht="14.25">
      <c r="A307" s="413"/>
      <c r="B307" s="413"/>
      <c r="C307" s="414"/>
      <c r="D307" s="413"/>
      <c r="E307" s="414"/>
      <c r="F307" s="414"/>
      <c r="G307" s="414"/>
      <c r="H307" s="414"/>
      <c r="I307" s="415"/>
      <c r="J307" s="413"/>
      <c r="K307" s="415"/>
      <c r="L307" s="416"/>
      <c r="M307" s="414"/>
      <c r="R307" s="394">
        <f t="shared" si="49"/>
        <v>118.61111111111128</v>
      </c>
    </row>
    <row r="308" spans="1:18" ht="14.25">
      <c r="A308" s="413"/>
      <c r="B308" s="413"/>
      <c r="C308" s="414"/>
      <c r="D308" s="413"/>
      <c r="E308" s="414"/>
      <c r="F308" s="414"/>
      <c r="G308" s="414"/>
      <c r="H308" s="414"/>
      <c r="I308" s="415"/>
      <c r="J308" s="413"/>
      <c r="K308" s="415"/>
      <c r="L308" s="416"/>
      <c r="M308" s="414"/>
      <c r="R308" s="394">
        <f t="shared" si="49"/>
        <v>119.00000000000017</v>
      </c>
    </row>
    <row r="309" spans="1:18" ht="14.25">
      <c r="A309" s="413"/>
      <c r="B309" s="413"/>
      <c r="C309" s="414"/>
      <c r="D309" s="413"/>
      <c r="E309" s="414"/>
      <c r="F309" s="414"/>
      <c r="G309" s="414"/>
      <c r="H309" s="414"/>
      <c r="I309" s="415"/>
      <c r="J309" s="413"/>
      <c r="K309" s="415"/>
      <c r="L309" s="416"/>
      <c r="M309" s="414"/>
      <c r="R309" s="394">
        <f t="shared" si="49"/>
        <v>119.38888888888906</v>
      </c>
    </row>
    <row r="310" spans="1:18" ht="14.25">
      <c r="A310" s="413"/>
      <c r="B310" s="413"/>
      <c r="C310" s="414"/>
      <c r="D310" s="413"/>
      <c r="E310" s="414"/>
      <c r="F310" s="414"/>
      <c r="G310" s="414"/>
      <c r="H310" s="414"/>
      <c r="I310" s="415"/>
      <c r="J310" s="413"/>
      <c r="K310" s="415"/>
      <c r="L310" s="416"/>
      <c r="M310" s="414"/>
      <c r="R310" s="394">
        <f t="shared" si="49"/>
        <v>119.77777777777794</v>
      </c>
    </row>
    <row r="311" spans="1:18" ht="14.25">
      <c r="A311" s="413"/>
      <c r="B311" s="413"/>
      <c r="C311" s="414"/>
      <c r="D311" s="413"/>
      <c r="E311" s="414"/>
      <c r="F311" s="414"/>
      <c r="G311" s="414"/>
      <c r="H311" s="414"/>
      <c r="I311" s="415"/>
      <c r="J311" s="413"/>
      <c r="K311" s="415"/>
      <c r="L311" s="416"/>
      <c r="M311" s="414"/>
      <c r="R311" s="394">
        <f t="shared" si="49"/>
        <v>120.16666666666683</v>
      </c>
    </row>
    <row r="312" spans="1:18" ht="14.25">
      <c r="A312" s="413"/>
      <c r="B312" s="413"/>
      <c r="C312" s="414"/>
      <c r="D312" s="413"/>
      <c r="E312" s="414"/>
      <c r="F312" s="414"/>
      <c r="G312" s="414"/>
      <c r="H312" s="414"/>
      <c r="I312" s="415"/>
      <c r="J312" s="413"/>
      <c r="K312" s="415"/>
      <c r="L312" s="416"/>
      <c r="M312" s="414"/>
      <c r="R312" s="394">
        <f t="shared" si="49"/>
        <v>120.55555555555571</v>
      </c>
    </row>
    <row r="313" spans="1:18" ht="14.25">
      <c r="A313" s="413"/>
      <c r="B313" s="413"/>
      <c r="C313" s="414"/>
      <c r="D313" s="413"/>
      <c r="E313" s="414"/>
      <c r="F313" s="414"/>
      <c r="G313" s="414"/>
      <c r="H313" s="414"/>
      <c r="I313" s="415"/>
      <c r="J313" s="413"/>
      <c r="K313" s="415"/>
      <c r="L313" s="416"/>
      <c r="M313" s="414"/>
      <c r="R313" s="394">
        <f t="shared" si="49"/>
        <v>120.9444444444446</v>
      </c>
    </row>
    <row r="314" spans="1:18" ht="14.25">
      <c r="A314" s="413"/>
      <c r="B314" s="413"/>
      <c r="C314" s="414"/>
      <c r="D314" s="413"/>
      <c r="E314" s="414"/>
      <c r="F314" s="414"/>
      <c r="G314" s="414"/>
      <c r="H314" s="414"/>
      <c r="I314" s="415"/>
      <c r="J314" s="413"/>
      <c r="K314" s="415"/>
      <c r="L314" s="416"/>
      <c r="M314" s="414"/>
      <c r="R314" s="394">
        <f t="shared" si="49"/>
        <v>121.33333333333348</v>
      </c>
    </row>
    <row r="315" spans="1:18" ht="14.25">
      <c r="A315" s="413"/>
      <c r="B315" s="413"/>
      <c r="C315" s="414"/>
      <c r="D315" s="413"/>
      <c r="E315" s="414"/>
      <c r="F315" s="414"/>
      <c r="G315" s="414"/>
      <c r="H315" s="414"/>
      <c r="I315" s="415"/>
      <c r="J315" s="413"/>
      <c r="K315" s="415"/>
      <c r="L315" s="416"/>
      <c r="M315" s="414"/>
      <c r="R315" s="394">
        <f t="shared" si="49"/>
        <v>121.72222222222237</v>
      </c>
    </row>
    <row r="316" spans="1:18" ht="14.25">
      <c r="A316" s="413"/>
      <c r="B316" s="413"/>
      <c r="C316" s="414"/>
      <c r="D316" s="413"/>
      <c r="E316" s="414"/>
      <c r="F316" s="414"/>
      <c r="G316" s="414"/>
      <c r="H316" s="414"/>
      <c r="I316" s="415"/>
      <c r="J316" s="413"/>
      <c r="K316" s="415"/>
      <c r="L316" s="416"/>
      <c r="M316" s="414"/>
      <c r="R316" s="394">
        <f t="shared" si="49"/>
        <v>122.11111111111126</v>
      </c>
    </row>
    <row r="317" spans="1:18" ht="14.25">
      <c r="A317" s="413"/>
      <c r="B317" s="413"/>
      <c r="C317" s="414"/>
      <c r="D317" s="413"/>
      <c r="E317" s="414"/>
      <c r="F317" s="414"/>
      <c r="G317" s="414"/>
      <c r="H317" s="414"/>
      <c r="I317" s="415"/>
      <c r="J317" s="413"/>
      <c r="K317" s="415"/>
      <c r="L317" s="416"/>
      <c r="M317" s="414"/>
      <c r="R317" s="394">
        <f t="shared" si="49"/>
        <v>122.50000000000014</v>
      </c>
    </row>
    <row r="318" spans="1:18" ht="14.25">
      <c r="A318" s="413"/>
      <c r="B318" s="413"/>
      <c r="C318" s="414"/>
      <c r="D318" s="413"/>
      <c r="E318" s="414"/>
      <c r="F318" s="414"/>
      <c r="G318" s="414"/>
      <c r="H318" s="414"/>
      <c r="I318" s="415"/>
      <c r="J318" s="413"/>
      <c r="K318" s="415"/>
      <c r="L318" s="416"/>
      <c r="M318" s="414"/>
      <c r="R318" s="394">
        <f t="shared" si="49"/>
        <v>122.88888888888903</v>
      </c>
    </row>
    <row r="319" spans="1:18" ht="14.25">
      <c r="A319" s="413"/>
      <c r="B319" s="413"/>
      <c r="C319" s="414"/>
      <c r="D319" s="413"/>
      <c r="E319" s="414"/>
      <c r="F319" s="414"/>
      <c r="G319" s="414"/>
      <c r="H319" s="414"/>
      <c r="I319" s="415"/>
      <c r="J319" s="413"/>
      <c r="K319" s="415"/>
      <c r="L319" s="416"/>
      <c r="M319" s="414"/>
      <c r="R319" s="394">
        <f t="shared" si="49"/>
        <v>123.27777777777791</v>
      </c>
    </row>
    <row r="320" spans="1:18" ht="14.25">
      <c r="A320" s="413"/>
      <c r="B320" s="413"/>
      <c r="C320" s="414"/>
      <c r="D320" s="413"/>
      <c r="E320" s="414"/>
      <c r="F320" s="414"/>
      <c r="G320" s="414"/>
      <c r="H320" s="414"/>
      <c r="I320" s="415"/>
      <c r="J320" s="413"/>
      <c r="K320" s="415"/>
      <c r="L320" s="416"/>
      <c r="M320" s="414"/>
      <c r="R320" s="394">
        <f t="shared" si="49"/>
        <v>123.6666666666668</v>
      </c>
    </row>
    <row r="321" spans="1:18" ht="14.25">
      <c r="A321" s="413"/>
      <c r="B321" s="413"/>
      <c r="C321" s="414"/>
      <c r="D321" s="413"/>
      <c r="E321" s="414"/>
      <c r="F321" s="414"/>
      <c r="G321" s="414"/>
      <c r="H321" s="414"/>
      <c r="I321" s="415"/>
      <c r="J321" s="413"/>
      <c r="K321" s="415"/>
      <c r="L321" s="416"/>
      <c r="M321" s="414"/>
      <c r="R321" s="394">
        <f t="shared" si="49"/>
        <v>124.05555555555569</v>
      </c>
    </row>
    <row r="322" spans="1:18" ht="14.25">
      <c r="A322" s="413"/>
      <c r="B322" s="413"/>
      <c r="C322" s="414"/>
      <c r="D322" s="413"/>
      <c r="E322" s="414"/>
      <c r="F322" s="414"/>
      <c r="G322" s="414"/>
      <c r="H322" s="414"/>
      <c r="I322" s="415"/>
      <c r="J322" s="413"/>
      <c r="K322" s="415"/>
      <c r="L322" s="416"/>
      <c r="M322" s="414"/>
      <c r="R322" s="394">
        <f t="shared" ref="R322:R361" si="50">R323-(R$362*0.2/72)</f>
        <v>124.44444444444457</v>
      </c>
    </row>
    <row r="323" spans="1:18" ht="14.25">
      <c r="A323" s="413"/>
      <c r="B323" s="413"/>
      <c r="C323" s="414"/>
      <c r="D323" s="413"/>
      <c r="E323" s="414"/>
      <c r="F323" s="414"/>
      <c r="G323" s="414"/>
      <c r="H323" s="414"/>
      <c r="I323" s="415"/>
      <c r="J323" s="413"/>
      <c r="K323" s="415"/>
      <c r="L323" s="416"/>
      <c r="M323" s="414"/>
      <c r="R323" s="394">
        <f t="shared" si="50"/>
        <v>124.83333333333346</v>
      </c>
    </row>
    <row r="324" spans="1:18" ht="14.25">
      <c r="A324" s="413"/>
      <c r="B324" s="413"/>
      <c r="C324" s="414"/>
      <c r="D324" s="413"/>
      <c r="E324" s="414"/>
      <c r="F324" s="414"/>
      <c r="G324" s="414"/>
      <c r="H324" s="414"/>
      <c r="I324" s="415"/>
      <c r="J324" s="413"/>
      <c r="K324" s="415"/>
      <c r="L324" s="416"/>
      <c r="M324" s="414"/>
      <c r="R324" s="394">
        <f t="shared" si="50"/>
        <v>125.22222222222234</v>
      </c>
    </row>
    <row r="325" spans="1:18" ht="14.25">
      <c r="A325" s="413"/>
      <c r="B325" s="413"/>
      <c r="C325" s="414"/>
      <c r="D325" s="413"/>
      <c r="E325" s="414"/>
      <c r="F325" s="414"/>
      <c r="G325" s="414"/>
      <c r="H325" s="414"/>
      <c r="I325" s="415"/>
      <c r="J325" s="413"/>
      <c r="K325" s="415"/>
      <c r="L325" s="416"/>
      <c r="M325" s="414"/>
      <c r="R325" s="394">
        <f t="shared" si="50"/>
        <v>125.61111111111123</v>
      </c>
    </row>
    <row r="326" spans="1:18" ht="14.25">
      <c r="A326" s="413"/>
      <c r="B326" s="413"/>
      <c r="C326" s="414"/>
      <c r="D326" s="413"/>
      <c r="E326" s="414"/>
      <c r="F326" s="414"/>
      <c r="G326" s="414"/>
      <c r="H326" s="414"/>
      <c r="I326" s="415"/>
      <c r="J326" s="413"/>
      <c r="K326" s="415"/>
      <c r="L326" s="416"/>
      <c r="M326" s="414"/>
      <c r="R326" s="394">
        <f t="shared" si="50"/>
        <v>126.00000000000011</v>
      </c>
    </row>
    <row r="327" spans="1:18" ht="14.25">
      <c r="A327" s="413"/>
      <c r="B327" s="413"/>
      <c r="C327" s="414"/>
      <c r="D327" s="413"/>
      <c r="E327" s="414"/>
      <c r="F327" s="414"/>
      <c r="G327" s="414"/>
      <c r="H327" s="414"/>
      <c r="I327" s="415"/>
      <c r="J327" s="413"/>
      <c r="K327" s="415"/>
      <c r="L327" s="416"/>
      <c r="M327" s="414"/>
      <c r="R327" s="394">
        <f t="shared" si="50"/>
        <v>126.388888888889</v>
      </c>
    </row>
    <row r="328" spans="1:18" ht="14.25">
      <c r="A328" s="413"/>
      <c r="B328" s="413"/>
      <c r="C328" s="414"/>
      <c r="D328" s="413"/>
      <c r="E328" s="414"/>
      <c r="F328" s="414"/>
      <c r="G328" s="414"/>
      <c r="H328" s="414"/>
      <c r="I328" s="415"/>
      <c r="J328" s="413"/>
      <c r="K328" s="415"/>
      <c r="L328" s="416"/>
      <c r="M328" s="414"/>
      <c r="R328" s="394">
        <f t="shared" si="50"/>
        <v>126.77777777777789</v>
      </c>
    </row>
    <row r="329" spans="1:18" ht="14.25">
      <c r="A329" s="413"/>
      <c r="B329" s="413"/>
      <c r="C329" s="414"/>
      <c r="D329" s="413"/>
      <c r="E329" s="414"/>
      <c r="F329" s="414"/>
      <c r="G329" s="414"/>
      <c r="H329" s="414"/>
      <c r="I329" s="415"/>
      <c r="J329" s="413"/>
      <c r="K329" s="415"/>
      <c r="L329" s="416"/>
      <c r="M329" s="414"/>
      <c r="R329" s="394">
        <f t="shared" si="50"/>
        <v>127.16666666666677</v>
      </c>
    </row>
    <row r="330" spans="1:18" ht="14.25">
      <c r="A330" s="413"/>
      <c r="B330" s="413"/>
      <c r="C330" s="414"/>
      <c r="D330" s="413"/>
      <c r="E330" s="414"/>
      <c r="F330" s="414"/>
      <c r="G330" s="414"/>
      <c r="H330" s="414"/>
      <c r="I330" s="415"/>
      <c r="J330" s="413"/>
      <c r="K330" s="415"/>
      <c r="L330" s="416"/>
      <c r="M330" s="414"/>
      <c r="R330" s="394">
        <f t="shared" si="50"/>
        <v>127.55555555555566</v>
      </c>
    </row>
    <row r="331" spans="1:18" ht="14.25">
      <c r="A331" s="413"/>
      <c r="B331" s="413"/>
      <c r="C331" s="414"/>
      <c r="D331" s="413"/>
      <c r="E331" s="414"/>
      <c r="F331" s="414"/>
      <c r="G331" s="414"/>
      <c r="H331" s="414"/>
      <c r="I331" s="415"/>
      <c r="J331" s="413"/>
      <c r="K331" s="415"/>
      <c r="L331" s="416"/>
      <c r="M331" s="414"/>
      <c r="R331" s="394">
        <f t="shared" si="50"/>
        <v>127.94444444444454</v>
      </c>
    </row>
    <row r="332" spans="1:18" ht="14.25">
      <c r="A332" s="413"/>
      <c r="B332" s="413"/>
      <c r="C332" s="414"/>
      <c r="D332" s="413"/>
      <c r="E332" s="414"/>
      <c r="F332" s="414"/>
      <c r="G332" s="414"/>
      <c r="H332" s="414"/>
      <c r="I332" s="415"/>
      <c r="J332" s="413"/>
      <c r="K332" s="415"/>
      <c r="L332" s="416"/>
      <c r="M332" s="414"/>
      <c r="R332" s="394">
        <f t="shared" si="50"/>
        <v>128.33333333333343</v>
      </c>
    </row>
    <row r="333" spans="1:18" ht="14.25">
      <c r="A333" s="413"/>
      <c r="B333" s="413"/>
      <c r="C333" s="414"/>
      <c r="D333" s="413"/>
      <c r="E333" s="414"/>
      <c r="F333" s="414"/>
      <c r="G333" s="414"/>
      <c r="H333" s="414"/>
      <c r="I333" s="415"/>
      <c r="J333" s="413"/>
      <c r="K333" s="415"/>
      <c r="L333" s="416"/>
      <c r="M333" s="414"/>
      <c r="R333" s="394">
        <f t="shared" si="50"/>
        <v>128.72222222222231</v>
      </c>
    </row>
    <row r="334" spans="1:18" ht="14.25">
      <c r="A334" s="413"/>
      <c r="B334" s="413"/>
      <c r="C334" s="414"/>
      <c r="D334" s="413"/>
      <c r="E334" s="414"/>
      <c r="F334" s="414"/>
      <c r="G334" s="414"/>
      <c r="H334" s="414"/>
      <c r="I334" s="415"/>
      <c r="J334" s="413"/>
      <c r="K334" s="415"/>
      <c r="L334" s="416"/>
      <c r="M334" s="414"/>
      <c r="R334" s="394">
        <f t="shared" si="50"/>
        <v>129.1111111111112</v>
      </c>
    </row>
    <row r="335" spans="1:18" ht="14.25">
      <c r="A335" s="413"/>
      <c r="B335" s="413"/>
      <c r="C335" s="414"/>
      <c r="D335" s="413"/>
      <c r="E335" s="414"/>
      <c r="F335" s="414"/>
      <c r="G335" s="414"/>
      <c r="H335" s="414"/>
      <c r="I335" s="415"/>
      <c r="J335" s="413"/>
      <c r="K335" s="415"/>
      <c r="L335" s="416"/>
      <c r="M335" s="414"/>
      <c r="R335" s="394">
        <f t="shared" si="50"/>
        <v>129.50000000000009</v>
      </c>
    </row>
    <row r="336" spans="1:18" ht="14.25">
      <c r="A336" s="413"/>
      <c r="B336" s="413"/>
      <c r="C336" s="414"/>
      <c r="D336" s="413"/>
      <c r="E336" s="414"/>
      <c r="F336" s="414"/>
      <c r="G336" s="414"/>
      <c r="H336" s="414"/>
      <c r="I336" s="415"/>
      <c r="J336" s="413"/>
      <c r="K336" s="415"/>
      <c r="L336" s="416"/>
      <c r="M336" s="414"/>
      <c r="R336" s="394">
        <f t="shared" si="50"/>
        <v>129.88888888888897</v>
      </c>
    </row>
    <row r="337" spans="1:18" ht="14.25">
      <c r="A337" s="413"/>
      <c r="B337" s="413"/>
      <c r="C337" s="414"/>
      <c r="D337" s="413"/>
      <c r="E337" s="414"/>
      <c r="F337" s="414"/>
      <c r="G337" s="414"/>
      <c r="H337" s="414"/>
      <c r="I337" s="415"/>
      <c r="J337" s="413"/>
      <c r="K337" s="415"/>
      <c r="L337" s="416"/>
      <c r="M337" s="414"/>
      <c r="R337" s="394">
        <f t="shared" si="50"/>
        <v>130.27777777777786</v>
      </c>
    </row>
    <row r="338" spans="1:18" ht="14.25">
      <c r="A338" s="413"/>
      <c r="B338" s="413"/>
      <c r="C338" s="414"/>
      <c r="D338" s="413"/>
      <c r="E338" s="414"/>
      <c r="F338" s="414"/>
      <c r="G338" s="414"/>
      <c r="H338" s="414"/>
      <c r="I338" s="415"/>
      <c r="J338" s="413"/>
      <c r="K338" s="415"/>
      <c r="L338" s="416"/>
      <c r="M338" s="414"/>
      <c r="R338" s="394">
        <f t="shared" si="50"/>
        <v>130.66666666666674</v>
      </c>
    </row>
    <row r="339" spans="1:18" ht="14.25">
      <c r="A339" s="413"/>
      <c r="B339" s="413"/>
      <c r="C339" s="414"/>
      <c r="D339" s="413"/>
      <c r="E339" s="414"/>
      <c r="F339" s="414"/>
      <c r="G339" s="414"/>
      <c r="H339" s="414"/>
      <c r="I339" s="415"/>
      <c r="J339" s="413"/>
      <c r="K339" s="415"/>
      <c r="L339" s="416"/>
      <c r="M339" s="414"/>
      <c r="R339" s="394">
        <f t="shared" si="50"/>
        <v>131.05555555555563</v>
      </c>
    </row>
    <row r="340" spans="1:18" ht="14.25">
      <c r="A340" s="413"/>
      <c r="B340" s="413"/>
      <c r="C340" s="414"/>
      <c r="D340" s="413"/>
      <c r="E340" s="414"/>
      <c r="F340" s="414"/>
      <c r="G340" s="414"/>
      <c r="H340" s="414"/>
      <c r="I340" s="415"/>
      <c r="J340" s="413"/>
      <c r="K340" s="415"/>
      <c r="L340" s="416"/>
      <c r="M340" s="414"/>
      <c r="R340" s="394">
        <f t="shared" si="50"/>
        <v>131.44444444444451</v>
      </c>
    </row>
    <row r="341" spans="1:18" ht="14.25">
      <c r="A341" s="413"/>
      <c r="B341" s="413"/>
      <c r="C341" s="414"/>
      <c r="D341" s="413"/>
      <c r="E341" s="414"/>
      <c r="F341" s="414"/>
      <c r="G341" s="414"/>
      <c r="H341" s="414"/>
      <c r="I341" s="415"/>
      <c r="J341" s="413"/>
      <c r="K341" s="415"/>
      <c r="L341" s="416"/>
      <c r="M341" s="414"/>
      <c r="R341" s="394">
        <f t="shared" si="50"/>
        <v>131.8333333333334</v>
      </c>
    </row>
    <row r="342" spans="1:18" ht="14.25">
      <c r="A342" s="413"/>
      <c r="B342" s="413"/>
      <c r="C342" s="414"/>
      <c r="D342" s="413"/>
      <c r="E342" s="414"/>
      <c r="F342" s="414"/>
      <c r="G342" s="414"/>
      <c r="H342" s="414"/>
      <c r="I342" s="415"/>
      <c r="J342" s="413"/>
      <c r="K342" s="415"/>
      <c r="L342" s="416"/>
      <c r="M342" s="414"/>
      <c r="R342" s="394">
        <f t="shared" si="50"/>
        <v>132.22222222222229</v>
      </c>
    </row>
    <row r="343" spans="1:18" ht="14.25">
      <c r="A343" s="413"/>
      <c r="B343" s="413"/>
      <c r="C343" s="414"/>
      <c r="D343" s="413"/>
      <c r="E343" s="414"/>
      <c r="F343" s="414"/>
      <c r="G343" s="414"/>
      <c r="H343" s="414"/>
      <c r="I343" s="415"/>
      <c r="J343" s="413"/>
      <c r="K343" s="415"/>
      <c r="L343" s="416"/>
      <c r="M343" s="414"/>
      <c r="R343" s="394">
        <f t="shared" si="50"/>
        <v>132.61111111111117</v>
      </c>
    </row>
    <row r="344" spans="1:18" ht="14.25">
      <c r="A344" s="413"/>
      <c r="B344" s="413"/>
      <c r="C344" s="414"/>
      <c r="D344" s="413"/>
      <c r="E344" s="414"/>
      <c r="F344" s="414"/>
      <c r="G344" s="414"/>
      <c r="H344" s="414"/>
      <c r="I344" s="415"/>
      <c r="J344" s="413"/>
      <c r="K344" s="415"/>
      <c r="L344" s="416"/>
      <c r="M344" s="414"/>
      <c r="R344" s="394">
        <f t="shared" si="50"/>
        <v>133.00000000000006</v>
      </c>
    </row>
    <row r="345" spans="1:18" ht="14.25">
      <c r="A345" s="413"/>
      <c r="B345" s="413"/>
      <c r="C345" s="414"/>
      <c r="D345" s="413"/>
      <c r="E345" s="414"/>
      <c r="F345" s="414"/>
      <c r="G345" s="414"/>
      <c r="H345" s="414"/>
      <c r="I345" s="415"/>
      <c r="J345" s="413"/>
      <c r="K345" s="415"/>
      <c r="L345" s="416"/>
      <c r="M345" s="414"/>
      <c r="R345" s="394">
        <f t="shared" si="50"/>
        <v>133.38888888888894</v>
      </c>
    </row>
    <row r="346" spans="1:18" ht="14.25">
      <c r="A346" s="413"/>
      <c r="B346" s="413"/>
      <c r="C346" s="414"/>
      <c r="D346" s="413"/>
      <c r="E346" s="414"/>
      <c r="F346" s="414"/>
      <c r="G346" s="414"/>
      <c r="H346" s="414"/>
      <c r="I346" s="415"/>
      <c r="J346" s="413"/>
      <c r="K346" s="415"/>
      <c r="L346" s="416"/>
      <c r="M346" s="414"/>
      <c r="R346" s="394">
        <f t="shared" si="50"/>
        <v>133.77777777777783</v>
      </c>
    </row>
    <row r="347" spans="1:18" ht="14.25">
      <c r="A347" s="413"/>
      <c r="B347" s="413"/>
      <c r="C347" s="414"/>
      <c r="D347" s="413"/>
      <c r="E347" s="414"/>
      <c r="F347" s="414"/>
      <c r="G347" s="414"/>
      <c r="H347" s="414"/>
      <c r="I347" s="415"/>
      <c r="J347" s="413"/>
      <c r="K347" s="415"/>
      <c r="L347" s="416"/>
      <c r="M347" s="414"/>
      <c r="R347" s="394">
        <f t="shared" si="50"/>
        <v>134.16666666666671</v>
      </c>
    </row>
    <row r="348" spans="1:18" ht="14.25">
      <c r="A348" s="413"/>
      <c r="B348" s="413"/>
      <c r="C348" s="414"/>
      <c r="D348" s="413"/>
      <c r="E348" s="414"/>
      <c r="F348" s="414"/>
      <c r="G348" s="414"/>
      <c r="H348" s="414"/>
      <c r="I348" s="415"/>
      <c r="J348" s="413"/>
      <c r="K348" s="415"/>
      <c r="L348" s="416"/>
      <c r="M348" s="414"/>
      <c r="R348" s="394">
        <f t="shared" si="50"/>
        <v>134.5555555555556</v>
      </c>
    </row>
    <row r="349" spans="1:18" ht="14.25">
      <c r="A349" s="413"/>
      <c r="B349" s="413"/>
      <c r="C349" s="414"/>
      <c r="D349" s="413"/>
      <c r="E349" s="414"/>
      <c r="F349" s="414"/>
      <c r="G349" s="414"/>
      <c r="H349" s="414"/>
      <c r="I349" s="415"/>
      <c r="J349" s="413"/>
      <c r="K349" s="415"/>
      <c r="L349" s="416"/>
      <c r="M349" s="414"/>
      <c r="R349" s="394">
        <f t="shared" si="50"/>
        <v>134.94444444444449</v>
      </c>
    </row>
    <row r="350" spans="1:18" ht="14.25">
      <c r="A350" s="413"/>
      <c r="B350" s="413"/>
      <c r="C350" s="414"/>
      <c r="D350" s="413"/>
      <c r="E350" s="414"/>
      <c r="F350" s="414"/>
      <c r="G350" s="414"/>
      <c r="H350" s="414"/>
      <c r="I350" s="415"/>
      <c r="J350" s="413"/>
      <c r="K350" s="415"/>
      <c r="L350" s="416"/>
      <c r="M350" s="414"/>
      <c r="R350" s="394">
        <f t="shared" si="50"/>
        <v>135.33333333333337</v>
      </c>
    </row>
    <row r="351" spans="1:18" ht="14.25">
      <c r="A351" s="413"/>
      <c r="B351" s="413"/>
      <c r="C351" s="414"/>
      <c r="D351" s="413"/>
      <c r="E351" s="414"/>
      <c r="F351" s="414"/>
      <c r="G351" s="414"/>
      <c r="H351" s="414"/>
      <c r="I351" s="415"/>
      <c r="J351" s="413"/>
      <c r="K351" s="415"/>
      <c r="L351" s="416"/>
      <c r="M351" s="414"/>
      <c r="R351" s="394">
        <f t="shared" si="50"/>
        <v>135.72222222222226</v>
      </c>
    </row>
    <row r="352" spans="1:18" ht="14.25">
      <c r="A352" s="413"/>
      <c r="B352" s="413"/>
      <c r="C352" s="414"/>
      <c r="D352" s="413"/>
      <c r="E352" s="414"/>
      <c r="F352" s="414"/>
      <c r="G352" s="414"/>
      <c r="H352" s="414"/>
      <c r="I352" s="415"/>
      <c r="J352" s="413"/>
      <c r="K352" s="415"/>
      <c r="L352" s="416"/>
      <c r="M352" s="414"/>
      <c r="R352" s="394">
        <f t="shared" si="50"/>
        <v>136.11111111111114</v>
      </c>
    </row>
    <row r="353" spans="1:18" ht="14.25">
      <c r="A353" s="413"/>
      <c r="B353" s="413"/>
      <c r="C353" s="414"/>
      <c r="D353" s="413"/>
      <c r="E353" s="414"/>
      <c r="F353" s="414"/>
      <c r="G353" s="414"/>
      <c r="H353" s="414"/>
      <c r="I353" s="415"/>
      <c r="J353" s="413"/>
      <c r="K353" s="415"/>
      <c r="L353" s="416"/>
      <c r="M353" s="414"/>
      <c r="R353" s="394">
        <f t="shared" si="50"/>
        <v>136.50000000000003</v>
      </c>
    </row>
    <row r="354" spans="1:18" ht="14.25">
      <c r="A354" s="413"/>
      <c r="B354" s="413"/>
      <c r="C354" s="414"/>
      <c r="D354" s="413"/>
      <c r="E354" s="414"/>
      <c r="F354" s="414"/>
      <c r="G354" s="414"/>
      <c r="H354" s="414"/>
      <c r="I354" s="415"/>
      <c r="J354" s="413"/>
      <c r="K354" s="415"/>
      <c r="L354" s="416"/>
      <c r="M354" s="414"/>
      <c r="R354" s="394">
        <f t="shared" si="50"/>
        <v>136.88888888888891</v>
      </c>
    </row>
    <row r="355" spans="1:18" ht="14.25">
      <c r="A355" s="413"/>
      <c r="B355" s="413"/>
      <c r="C355" s="414"/>
      <c r="D355" s="413"/>
      <c r="E355" s="414"/>
      <c r="F355" s="414"/>
      <c r="G355" s="414"/>
      <c r="H355" s="414"/>
      <c r="I355" s="415"/>
      <c r="J355" s="413"/>
      <c r="K355" s="415"/>
      <c r="L355" s="416"/>
      <c r="M355" s="414"/>
      <c r="R355" s="394">
        <f t="shared" si="50"/>
        <v>137.2777777777778</v>
      </c>
    </row>
    <row r="356" spans="1:18" ht="14.25">
      <c r="A356" s="413"/>
      <c r="B356" s="413"/>
      <c r="C356" s="414"/>
      <c r="D356" s="413"/>
      <c r="E356" s="414"/>
      <c r="F356" s="414"/>
      <c r="G356" s="414"/>
      <c r="H356" s="414"/>
      <c r="I356" s="415"/>
      <c r="J356" s="413"/>
      <c r="K356" s="415"/>
      <c r="L356" s="416"/>
      <c r="M356" s="414"/>
      <c r="R356" s="394">
        <f t="shared" si="50"/>
        <v>137.66666666666669</v>
      </c>
    </row>
    <row r="357" spans="1:18" ht="14.25">
      <c r="A357" s="413"/>
      <c r="B357" s="413"/>
      <c r="C357" s="414"/>
      <c r="D357" s="413"/>
      <c r="E357" s="414"/>
      <c r="F357" s="414"/>
      <c r="G357" s="414"/>
      <c r="H357" s="414"/>
      <c r="I357" s="415"/>
      <c r="J357" s="413"/>
      <c r="K357" s="415"/>
      <c r="L357" s="416"/>
      <c r="M357" s="414"/>
      <c r="R357" s="394">
        <f t="shared" si="50"/>
        <v>138.05555555555557</v>
      </c>
    </row>
    <row r="358" spans="1:18" ht="14.25">
      <c r="A358" s="413"/>
      <c r="B358" s="413"/>
      <c r="C358" s="414"/>
      <c r="D358" s="413"/>
      <c r="E358" s="414"/>
      <c r="F358" s="414"/>
      <c r="G358" s="414"/>
      <c r="H358" s="414"/>
      <c r="I358" s="415"/>
      <c r="J358" s="413"/>
      <c r="K358" s="415"/>
      <c r="L358" s="416"/>
      <c r="M358" s="414"/>
      <c r="R358" s="394">
        <f t="shared" si="50"/>
        <v>138.44444444444446</v>
      </c>
    </row>
    <row r="359" spans="1:18" ht="14.25">
      <c r="A359" s="413"/>
      <c r="B359" s="413"/>
      <c r="C359" s="414"/>
      <c r="D359" s="413"/>
      <c r="E359" s="414"/>
      <c r="F359" s="414"/>
      <c r="G359" s="414"/>
      <c r="H359" s="414"/>
      <c r="I359" s="415"/>
      <c r="J359" s="413"/>
      <c r="K359" s="415"/>
      <c r="L359" s="416"/>
      <c r="M359" s="414"/>
      <c r="R359" s="394">
        <f t="shared" si="50"/>
        <v>138.83333333333334</v>
      </c>
    </row>
    <row r="360" spans="1:18" ht="14.25">
      <c r="A360" s="413"/>
      <c r="B360" s="413"/>
      <c r="C360" s="414"/>
      <c r="D360" s="413"/>
      <c r="E360" s="414"/>
      <c r="F360" s="414"/>
      <c r="G360" s="414"/>
      <c r="H360" s="414"/>
      <c r="I360" s="415"/>
      <c r="J360" s="413"/>
      <c r="K360" s="415"/>
      <c r="L360" s="416"/>
      <c r="M360" s="414"/>
      <c r="R360" s="394">
        <f t="shared" si="50"/>
        <v>139.22222222222223</v>
      </c>
    </row>
    <row r="361" spans="1:18" ht="14.25">
      <c r="A361" s="413"/>
      <c r="B361" s="413"/>
      <c r="C361" s="414"/>
      <c r="D361" s="413"/>
      <c r="E361" s="414"/>
      <c r="F361" s="414"/>
      <c r="G361" s="414"/>
      <c r="H361" s="414"/>
      <c r="I361" s="415"/>
      <c r="J361" s="413"/>
      <c r="K361" s="415"/>
      <c r="L361" s="416"/>
      <c r="M361" s="414"/>
      <c r="R361" s="394">
        <f t="shared" si="50"/>
        <v>139.61111111111111</v>
      </c>
    </row>
    <row r="362" spans="1:18" ht="14.25">
      <c r="A362" s="413"/>
      <c r="B362" s="413"/>
      <c r="C362" s="414"/>
      <c r="D362" s="413"/>
      <c r="E362" s="414"/>
      <c r="F362" s="414"/>
      <c r="G362" s="414"/>
      <c r="H362" s="414"/>
      <c r="I362" s="415"/>
      <c r="J362" s="413"/>
      <c r="K362" s="415"/>
      <c r="L362" s="416"/>
      <c r="M362" s="414"/>
      <c r="R362" s="394">
        <v>140</v>
      </c>
    </row>
    <row r="363" spans="1:18">
      <c r="A363" s="413"/>
      <c r="B363" s="413"/>
      <c r="C363" s="414"/>
      <c r="D363" s="413"/>
      <c r="E363" s="414"/>
      <c r="F363" s="414"/>
      <c r="G363" s="414"/>
      <c r="H363" s="414"/>
      <c r="I363" s="415"/>
      <c r="J363" s="413"/>
      <c r="K363" s="415"/>
      <c r="L363" s="416"/>
      <c r="M363" s="414"/>
    </row>
    <row r="364" spans="1:18">
      <c r="A364" s="413"/>
      <c r="B364" s="413"/>
      <c r="C364" s="414"/>
      <c r="D364" s="413"/>
      <c r="E364" s="414"/>
      <c r="F364" s="414"/>
      <c r="G364" s="414"/>
      <c r="H364" s="414"/>
      <c r="I364" s="415"/>
      <c r="J364" s="413"/>
      <c r="K364" s="415"/>
      <c r="L364" s="416"/>
      <c r="M364" s="414"/>
    </row>
    <row r="365" spans="1:18">
      <c r="A365" s="413"/>
      <c r="B365" s="413"/>
      <c r="C365" s="414"/>
      <c r="D365" s="413"/>
      <c r="E365" s="414"/>
      <c r="F365" s="414"/>
      <c r="G365" s="414"/>
      <c r="H365" s="414"/>
      <c r="I365" s="415"/>
      <c r="J365" s="413"/>
      <c r="K365" s="415"/>
      <c r="L365" s="416"/>
      <c r="M365" s="414"/>
    </row>
    <row r="366" spans="1:18">
      <c r="A366" s="413"/>
      <c r="B366" s="413"/>
      <c r="C366" s="414"/>
      <c r="D366" s="413"/>
      <c r="E366" s="414"/>
      <c r="F366" s="414"/>
      <c r="G366" s="414"/>
      <c r="H366" s="414"/>
      <c r="I366" s="415"/>
      <c r="J366" s="413"/>
      <c r="K366" s="415"/>
      <c r="L366" s="416"/>
      <c r="M366" s="414"/>
    </row>
    <row r="367" spans="1:18">
      <c r="A367" s="413"/>
      <c r="B367" s="413"/>
      <c r="C367" s="414"/>
      <c r="D367" s="413"/>
      <c r="E367" s="414"/>
      <c r="F367" s="414"/>
      <c r="G367" s="414"/>
      <c r="H367" s="414"/>
      <c r="I367" s="415"/>
      <c r="J367" s="413"/>
      <c r="K367" s="415"/>
      <c r="L367" s="416"/>
      <c r="M367" s="414"/>
    </row>
    <row r="368" spans="1:18">
      <c r="A368" s="413"/>
      <c r="B368" s="413"/>
      <c r="C368" s="414"/>
      <c r="D368" s="413"/>
      <c r="E368" s="414"/>
      <c r="F368" s="414"/>
      <c r="G368" s="414"/>
      <c r="H368" s="414"/>
      <c r="I368" s="415"/>
      <c r="J368" s="413"/>
      <c r="K368" s="415"/>
      <c r="L368" s="416"/>
      <c r="M368" s="414"/>
    </row>
    <row r="369" spans="1:13">
      <c r="A369" s="413"/>
      <c r="B369" s="413"/>
      <c r="C369" s="414"/>
      <c r="D369" s="413"/>
      <c r="E369" s="414"/>
      <c r="F369" s="414"/>
      <c r="G369" s="414"/>
      <c r="H369" s="414"/>
      <c r="I369" s="415"/>
      <c r="J369" s="413"/>
      <c r="K369" s="415"/>
      <c r="L369" s="416"/>
      <c r="M369" s="414"/>
    </row>
    <row r="370" spans="1:13">
      <c r="A370" s="413"/>
      <c r="B370" s="413"/>
      <c r="C370" s="414"/>
      <c r="D370" s="413"/>
      <c r="E370" s="414"/>
      <c r="F370" s="414"/>
      <c r="G370" s="414"/>
      <c r="H370" s="414"/>
      <c r="I370" s="415"/>
      <c r="J370" s="413"/>
      <c r="K370" s="415"/>
      <c r="L370" s="416"/>
      <c r="M370" s="414"/>
    </row>
    <row r="371" spans="1:13">
      <c r="A371" s="413"/>
      <c r="B371" s="413"/>
      <c r="C371" s="414"/>
      <c r="D371" s="413"/>
      <c r="E371" s="414"/>
      <c r="F371" s="414"/>
      <c r="G371" s="414"/>
      <c r="H371" s="414"/>
      <c r="I371" s="415"/>
      <c r="J371" s="413"/>
      <c r="K371" s="415"/>
      <c r="L371" s="416"/>
      <c r="M371" s="414"/>
    </row>
    <row r="372" spans="1:13">
      <c r="A372" s="413"/>
      <c r="B372" s="413"/>
      <c r="C372" s="414"/>
      <c r="D372" s="413"/>
      <c r="E372" s="414"/>
      <c r="F372" s="414"/>
      <c r="G372" s="414"/>
      <c r="H372" s="414"/>
      <c r="I372" s="415"/>
      <c r="J372" s="413"/>
      <c r="K372" s="415"/>
      <c r="L372" s="416"/>
      <c r="M372" s="414"/>
    </row>
    <row r="373" spans="1:13">
      <c r="A373" s="413"/>
      <c r="B373" s="413"/>
      <c r="C373" s="414"/>
      <c r="D373" s="413"/>
      <c r="E373" s="414"/>
      <c r="F373" s="414"/>
      <c r="G373" s="414"/>
      <c r="H373" s="414"/>
      <c r="I373" s="415"/>
      <c r="J373" s="413"/>
      <c r="K373" s="415"/>
      <c r="L373" s="416"/>
      <c r="M373" s="414"/>
    </row>
    <row r="374" spans="1:13">
      <c r="A374" s="413"/>
      <c r="B374" s="413"/>
      <c r="C374" s="414"/>
      <c r="D374" s="413"/>
      <c r="E374" s="414"/>
      <c r="F374" s="414"/>
      <c r="G374" s="414"/>
      <c r="H374" s="414"/>
      <c r="I374" s="415"/>
      <c r="J374" s="413"/>
      <c r="K374" s="415"/>
      <c r="L374" s="416"/>
      <c r="M374" s="414"/>
    </row>
    <row r="375" spans="1:13">
      <c r="A375" s="413"/>
      <c r="B375" s="413"/>
      <c r="C375" s="414"/>
      <c r="D375" s="413"/>
      <c r="E375" s="414"/>
      <c r="F375" s="414"/>
      <c r="G375" s="414"/>
      <c r="H375" s="414"/>
      <c r="I375" s="415"/>
      <c r="J375" s="413"/>
      <c r="K375" s="415"/>
      <c r="L375" s="416"/>
      <c r="M375" s="414"/>
    </row>
    <row r="376" spans="1:13">
      <c r="A376" s="413"/>
      <c r="B376" s="413"/>
      <c r="C376" s="414"/>
      <c r="D376" s="413"/>
      <c r="E376" s="414"/>
      <c r="F376" s="414"/>
      <c r="G376" s="414"/>
      <c r="H376" s="414"/>
      <c r="I376" s="415"/>
      <c r="J376" s="413"/>
      <c r="K376" s="415"/>
      <c r="L376" s="416"/>
      <c r="M376" s="414"/>
    </row>
    <row r="377" spans="1:13">
      <c r="A377" s="413"/>
      <c r="B377" s="413"/>
      <c r="C377" s="414"/>
      <c r="D377" s="413"/>
      <c r="E377" s="414"/>
      <c r="F377" s="414"/>
      <c r="G377" s="414"/>
      <c r="H377" s="414"/>
      <c r="I377" s="415"/>
      <c r="J377" s="413"/>
      <c r="K377" s="415"/>
      <c r="L377" s="416"/>
      <c r="M377" s="414"/>
    </row>
    <row r="378" spans="1:13">
      <c r="A378" s="413"/>
      <c r="B378" s="413"/>
      <c r="C378" s="414"/>
      <c r="D378" s="413"/>
      <c r="E378" s="414"/>
      <c r="F378" s="414"/>
      <c r="G378" s="414"/>
      <c r="H378" s="414"/>
      <c r="I378" s="415"/>
      <c r="J378" s="413"/>
      <c r="K378" s="415"/>
      <c r="L378" s="416"/>
      <c r="M378" s="414"/>
    </row>
    <row r="379" spans="1:13">
      <c r="A379" s="413"/>
      <c r="B379" s="413"/>
      <c r="C379" s="414"/>
      <c r="D379" s="413"/>
      <c r="E379" s="414"/>
      <c r="F379" s="414"/>
      <c r="G379" s="414"/>
      <c r="H379" s="414"/>
      <c r="I379" s="415"/>
      <c r="J379" s="413"/>
      <c r="K379" s="415"/>
      <c r="L379" s="416"/>
      <c r="M379" s="414"/>
    </row>
    <row r="380" spans="1:13">
      <c r="A380" s="413"/>
      <c r="B380" s="413"/>
      <c r="C380" s="414"/>
      <c r="D380" s="413"/>
      <c r="E380" s="414"/>
      <c r="F380" s="414"/>
      <c r="G380" s="414"/>
      <c r="H380" s="414"/>
      <c r="I380" s="415"/>
      <c r="J380" s="413"/>
      <c r="K380" s="415"/>
      <c r="L380" s="416"/>
      <c r="M380" s="414"/>
    </row>
    <row r="381" spans="1:13">
      <c r="A381" s="413"/>
      <c r="B381" s="413"/>
      <c r="C381" s="414"/>
      <c r="D381" s="413"/>
      <c r="E381" s="414"/>
      <c r="F381" s="414"/>
      <c r="G381" s="414"/>
      <c r="H381" s="414"/>
      <c r="I381" s="415"/>
      <c r="J381" s="413"/>
      <c r="K381" s="415"/>
      <c r="L381" s="416"/>
      <c r="M381" s="414"/>
    </row>
    <row r="382" spans="1:13">
      <c r="A382" s="413"/>
      <c r="B382" s="413"/>
      <c r="C382" s="414"/>
      <c r="D382" s="413"/>
      <c r="E382" s="414"/>
      <c r="F382" s="414"/>
      <c r="G382" s="414"/>
      <c r="H382" s="414"/>
      <c r="I382" s="415"/>
      <c r="J382" s="413"/>
      <c r="K382" s="415"/>
      <c r="L382" s="416"/>
      <c r="M382" s="414"/>
    </row>
    <row r="383" spans="1:13">
      <c r="A383" s="413"/>
      <c r="B383" s="413"/>
      <c r="C383" s="414"/>
      <c r="D383" s="413"/>
      <c r="E383" s="414"/>
      <c r="F383" s="414"/>
      <c r="G383" s="414"/>
      <c r="H383" s="414"/>
      <c r="I383" s="415"/>
      <c r="J383" s="413"/>
      <c r="K383" s="415"/>
      <c r="L383" s="416"/>
      <c r="M383" s="414"/>
    </row>
    <row r="384" spans="1:13">
      <c r="A384" s="413"/>
      <c r="B384" s="413"/>
      <c r="C384" s="414"/>
      <c r="D384" s="413"/>
      <c r="E384" s="414"/>
      <c r="F384" s="414"/>
      <c r="G384" s="414"/>
      <c r="H384" s="414"/>
      <c r="I384" s="415"/>
      <c r="J384" s="413"/>
      <c r="K384" s="415"/>
      <c r="L384" s="416"/>
      <c r="M384" s="414"/>
    </row>
    <row r="385" spans="1:13">
      <c r="A385" s="413"/>
      <c r="B385" s="413"/>
      <c r="C385" s="414"/>
      <c r="D385" s="413"/>
      <c r="E385" s="414"/>
      <c r="F385" s="414"/>
      <c r="G385" s="414"/>
      <c r="H385" s="414"/>
      <c r="I385" s="415"/>
      <c r="J385" s="413"/>
      <c r="K385" s="415"/>
      <c r="L385" s="416"/>
      <c r="M385" s="414"/>
    </row>
    <row r="386" spans="1:13">
      <c r="A386" s="413"/>
      <c r="B386" s="413"/>
      <c r="C386" s="414"/>
      <c r="D386" s="413"/>
      <c r="E386" s="414"/>
      <c r="F386" s="414"/>
      <c r="G386" s="414"/>
      <c r="H386" s="414"/>
      <c r="I386" s="415"/>
      <c r="J386" s="413"/>
      <c r="K386" s="415"/>
      <c r="L386" s="416"/>
      <c r="M386" s="414"/>
    </row>
    <row r="387" spans="1:13">
      <c r="A387" s="413"/>
      <c r="B387" s="413"/>
      <c r="C387" s="414"/>
      <c r="D387" s="413"/>
      <c r="E387" s="414"/>
      <c r="F387" s="414"/>
      <c r="G387" s="414"/>
      <c r="H387" s="414"/>
      <c r="I387" s="415"/>
      <c r="J387" s="413"/>
      <c r="K387" s="415"/>
      <c r="L387" s="416"/>
      <c r="M387" s="414"/>
    </row>
    <row r="388" spans="1:13">
      <c r="A388" s="413"/>
      <c r="B388" s="413"/>
      <c r="C388" s="414"/>
      <c r="D388" s="413"/>
      <c r="E388" s="414"/>
      <c r="F388" s="414"/>
      <c r="G388" s="414"/>
      <c r="H388" s="414"/>
      <c r="I388" s="415"/>
      <c r="J388" s="413"/>
      <c r="K388" s="415"/>
      <c r="L388" s="416"/>
      <c r="M388" s="414"/>
    </row>
    <row r="389" spans="1:13">
      <c r="A389" s="413"/>
      <c r="B389" s="413"/>
      <c r="C389" s="414"/>
      <c r="D389" s="413"/>
      <c r="E389" s="414"/>
      <c r="F389" s="414"/>
      <c r="G389" s="414"/>
      <c r="H389" s="414"/>
      <c r="I389" s="415"/>
      <c r="J389" s="413"/>
      <c r="K389" s="415"/>
      <c r="L389" s="416"/>
      <c r="M389" s="414"/>
    </row>
    <row r="390" spans="1:13">
      <c r="A390" s="413"/>
      <c r="B390" s="413"/>
      <c r="C390" s="414"/>
      <c r="D390" s="413"/>
      <c r="E390" s="414"/>
      <c r="F390" s="414"/>
      <c r="G390" s="414"/>
      <c r="H390" s="414"/>
      <c r="I390" s="415"/>
      <c r="J390" s="413"/>
      <c r="K390" s="415"/>
      <c r="L390" s="416"/>
      <c r="M390" s="414"/>
    </row>
    <row r="391" spans="1:13">
      <c r="A391" s="413"/>
      <c r="B391" s="413"/>
      <c r="C391" s="414"/>
      <c r="D391" s="413"/>
      <c r="E391" s="414"/>
      <c r="F391" s="414"/>
      <c r="G391" s="414"/>
      <c r="H391" s="414"/>
      <c r="I391" s="415"/>
      <c r="J391" s="413"/>
      <c r="K391" s="415"/>
      <c r="L391" s="416"/>
      <c r="M391" s="414"/>
    </row>
    <row r="392" spans="1:13">
      <c r="A392" s="413"/>
      <c r="B392" s="413"/>
      <c r="C392" s="414"/>
      <c r="D392" s="413"/>
      <c r="E392" s="414"/>
      <c r="F392" s="414"/>
      <c r="G392" s="414"/>
      <c r="H392" s="414"/>
      <c r="I392" s="415"/>
      <c r="J392" s="413"/>
      <c r="K392" s="415"/>
      <c r="L392" s="416"/>
      <c r="M392" s="414"/>
    </row>
    <row r="393" spans="1:13">
      <c r="A393" s="413"/>
      <c r="B393" s="413"/>
      <c r="C393" s="414"/>
      <c r="D393" s="413"/>
      <c r="E393" s="414"/>
      <c r="F393" s="414"/>
      <c r="G393" s="414"/>
      <c r="H393" s="414"/>
      <c r="I393" s="415"/>
      <c r="J393" s="413"/>
      <c r="K393" s="415"/>
      <c r="L393" s="416"/>
      <c r="M393" s="414"/>
    </row>
    <row r="394" spans="1:13">
      <c r="A394" s="413"/>
      <c r="B394" s="413"/>
      <c r="C394" s="414"/>
      <c r="D394" s="413"/>
      <c r="E394" s="414"/>
      <c r="F394" s="414"/>
      <c r="G394" s="414"/>
      <c r="H394" s="414"/>
      <c r="I394" s="415"/>
      <c r="J394" s="413"/>
      <c r="K394" s="415"/>
      <c r="L394" s="416"/>
      <c r="M394" s="414"/>
    </row>
    <row r="395" spans="1:13">
      <c r="A395" s="413"/>
      <c r="B395" s="413"/>
      <c r="C395" s="414"/>
      <c r="D395" s="413"/>
      <c r="E395" s="414"/>
      <c r="F395" s="414"/>
      <c r="G395" s="414"/>
      <c r="H395" s="414"/>
      <c r="I395" s="415"/>
      <c r="J395" s="413"/>
      <c r="K395" s="415"/>
      <c r="L395" s="416"/>
      <c r="M395" s="414"/>
    </row>
    <row r="396" spans="1:13">
      <c r="A396" s="413"/>
      <c r="B396" s="413"/>
      <c r="C396" s="414"/>
      <c r="D396" s="413"/>
      <c r="E396" s="414"/>
      <c r="F396" s="414"/>
      <c r="G396" s="414"/>
      <c r="H396" s="414"/>
      <c r="I396" s="415"/>
      <c r="J396" s="413"/>
      <c r="K396" s="415"/>
      <c r="L396" s="416"/>
      <c r="M396" s="414"/>
    </row>
    <row r="397" spans="1:13">
      <c r="A397" s="413"/>
      <c r="B397" s="413"/>
      <c r="C397" s="414"/>
      <c r="D397" s="413"/>
      <c r="E397" s="414"/>
      <c r="F397" s="414"/>
      <c r="G397" s="414"/>
      <c r="H397" s="414"/>
      <c r="I397" s="415"/>
      <c r="J397" s="413"/>
      <c r="K397" s="415"/>
      <c r="L397" s="416"/>
      <c r="M397" s="414"/>
    </row>
    <row r="398" spans="1:13">
      <c r="A398" s="413"/>
      <c r="B398" s="413"/>
      <c r="C398" s="414"/>
      <c r="D398" s="413"/>
      <c r="E398" s="414"/>
      <c r="F398" s="414"/>
      <c r="G398" s="414"/>
      <c r="H398" s="414"/>
      <c r="I398" s="415"/>
      <c r="J398" s="413"/>
      <c r="K398" s="415"/>
      <c r="L398" s="416"/>
      <c r="M398" s="414"/>
    </row>
    <row r="399" spans="1:13">
      <c r="A399" s="413"/>
      <c r="B399" s="413"/>
      <c r="C399" s="414"/>
      <c r="D399" s="413"/>
      <c r="E399" s="414"/>
      <c r="F399" s="414"/>
      <c r="G399" s="414"/>
      <c r="H399" s="414"/>
      <c r="I399" s="415"/>
      <c r="J399" s="413"/>
      <c r="K399" s="415"/>
      <c r="L399" s="416"/>
      <c r="M399" s="414"/>
    </row>
    <row r="400" spans="1:13">
      <c r="A400" s="413"/>
      <c r="B400" s="413"/>
      <c r="C400" s="414"/>
      <c r="D400" s="413"/>
      <c r="E400" s="414"/>
      <c r="F400" s="414"/>
      <c r="G400" s="414"/>
      <c r="H400" s="414"/>
      <c r="I400" s="415"/>
      <c r="J400" s="413"/>
      <c r="K400" s="415"/>
      <c r="L400" s="416"/>
      <c r="M400" s="414"/>
    </row>
    <row r="401" spans="1:13">
      <c r="A401" s="413"/>
      <c r="B401" s="413"/>
      <c r="C401" s="414"/>
      <c r="D401" s="413"/>
      <c r="E401" s="414"/>
      <c r="F401" s="414"/>
      <c r="G401" s="414"/>
      <c r="H401" s="414"/>
      <c r="I401" s="415"/>
      <c r="J401" s="413"/>
      <c r="K401" s="415"/>
      <c r="L401" s="416"/>
      <c r="M401" s="414"/>
    </row>
    <row r="402" spans="1:13">
      <c r="A402" s="413"/>
      <c r="B402" s="413"/>
      <c r="C402" s="414"/>
      <c r="D402" s="413"/>
      <c r="E402" s="414"/>
      <c r="F402" s="414"/>
      <c r="G402" s="414"/>
      <c r="H402" s="414"/>
      <c r="I402" s="415"/>
      <c r="J402" s="413"/>
      <c r="K402" s="415"/>
      <c r="L402" s="416"/>
      <c r="M402" s="414"/>
    </row>
    <row r="403" spans="1:13">
      <c r="A403" s="413"/>
      <c r="B403" s="413"/>
      <c r="C403" s="414"/>
      <c r="D403" s="413"/>
      <c r="E403" s="414"/>
      <c r="F403" s="414"/>
      <c r="G403" s="414"/>
      <c r="H403" s="414"/>
      <c r="I403" s="415"/>
      <c r="J403" s="413"/>
      <c r="K403" s="415"/>
      <c r="L403" s="416"/>
      <c r="M403" s="414"/>
    </row>
    <row r="404" spans="1:13">
      <c r="A404" s="413"/>
      <c r="B404" s="413"/>
      <c r="C404" s="414"/>
      <c r="D404" s="413"/>
      <c r="E404" s="414"/>
      <c r="F404" s="414"/>
      <c r="G404" s="414"/>
      <c r="H404" s="414"/>
      <c r="I404" s="415"/>
      <c r="J404" s="413"/>
      <c r="K404" s="415"/>
      <c r="L404" s="416"/>
      <c r="M404" s="414"/>
    </row>
    <row r="405" spans="1:13">
      <c r="A405" s="413"/>
      <c r="B405" s="413"/>
      <c r="C405" s="414"/>
      <c r="D405" s="413"/>
      <c r="E405" s="414"/>
      <c r="F405" s="414"/>
      <c r="G405" s="414"/>
      <c r="H405" s="414"/>
      <c r="I405" s="415"/>
      <c r="J405" s="413"/>
      <c r="K405" s="415"/>
      <c r="L405" s="416"/>
      <c r="M405" s="414"/>
    </row>
    <row r="406" spans="1:13">
      <c r="A406" s="413"/>
      <c r="B406" s="413"/>
      <c r="C406" s="414"/>
      <c r="D406" s="413"/>
      <c r="E406" s="414"/>
      <c r="F406" s="414"/>
      <c r="G406" s="414"/>
      <c r="H406" s="414"/>
      <c r="I406" s="415"/>
      <c r="J406" s="413"/>
      <c r="K406" s="415"/>
      <c r="L406" s="416"/>
      <c r="M406" s="414"/>
    </row>
    <row r="407" spans="1:13">
      <c r="A407" s="413"/>
      <c r="B407" s="413"/>
      <c r="C407" s="414"/>
      <c r="D407" s="413"/>
      <c r="E407" s="414"/>
      <c r="F407" s="414"/>
      <c r="G407" s="414"/>
      <c r="H407" s="414"/>
      <c r="I407" s="415"/>
      <c r="J407" s="413"/>
      <c r="K407" s="415"/>
      <c r="L407" s="416"/>
      <c r="M407" s="414"/>
    </row>
    <row r="408" spans="1:13">
      <c r="A408" s="413"/>
      <c r="B408" s="413"/>
      <c r="C408" s="414"/>
      <c r="D408" s="413"/>
      <c r="E408" s="414"/>
      <c r="F408" s="414"/>
      <c r="G408" s="414"/>
      <c r="H408" s="414"/>
      <c r="I408" s="415"/>
      <c r="J408" s="413"/>
      <c r="K408" s="415"/>
      <c r="L408" s="416"/>
      <c r="M408" s="414"/>
    </row>
    <row r="409" spans="1:13">
      <c r="A409" s="413"/>
      <c r="B409" s="413"/>
      <c r="C409" s="414"/>
      <c r="D409" s="413"/>
      <c r="E409" s="414"/>
      <c r="F409" s="414"/>
      <c r="G409" s="414"/>
      <c r="H409" s="414"/>
      <c r="I409" s="415"/>
      <c r="J409" s="413"/>
      <c r="K409" s="415"/>
      <c r="L409" s="416"/>
      <c r="M409" s="414"/>
    </row>
    <row r="410" spans="1:13">
      <c r="A410" s="413"/>
      <c r="B410" s="413"/>
      <c r="C410" s="414"/>
      <c r="D410" s="413"/>
      <c r="E410" s="414"/>
      <c r="F410" s="414"/>
      <c r="G410" s="414"/>
      <c r="H410" s="414"/>
      <c r="I410" s="415"/>
      <c r="J410" s="413"/>
      <c r="K410" s="415"/>
      <c r="L410" s="416"/>
      <c r="M410" s="414"/>
    </row>
    <row r="411" spans="1:13">
      <c r="A411" s="413"/>
      <c r="B411" s="413"/>
      <c r="C411" s="414"/>
      <c r="D411" s="413"/>
      <c r="E411" s="414"/>
      <c r="F411" s="414"/>
      <c r="G411" s="414"/>
      <c r="H411" s="414"/>
      <c r="I411" s="415"/>
      <c r="J411" s="413"/>
      <c r="K411" s="415"/>
      <c r="L411" s="416"/>
      <c r="M411" s="414"/>
    </row>
    <row r="412" spans="1:13">
      <c r="A412" s="413"/>
      <c r="B412" s="413"/>
      <c r="C412" s="414"/>
      <c r="D412" s="413"/>
      <c r="E412" s="414"/>
      <c r="F412" s="414"/>
      <c r="G412" s="414"/>
      <c r="H412" s="414"/>
      <c r="I412" s="415"/>
      <c r="J412" s="413"/>
      <c r="K412" s="415"/>
      <c r="L412" s="416"/>
      <c r="M412" s="414"/>
    </row>
    <row r="413" spans="1:13">
      <c r="A413" s="413"/>
      <c r="B413" s="413"/>
      <c r="C413" s="414"/>
      <c r="D413" s="413"/>
      <c r="E413" s="414"/>
      <c r="F413" s="414"/>
      <c r="G413" s="414"/>
      <c r="H413" s="414"/>
      <c r="I413" s="415"/>
      <c r="J413" s="413"/>
      <c r="K413" s="415"/>
      <c r="L413" s="416"/>
      <c r="M413" s="414"/>
    </row>
    <row r="414" spans="1:13">
      <c r="A414" s="413"/>
      <c r="B414" s="413"/>
      <c r="C414" s="414"/>
      <c r="D414" s="413"/>
      <c r="E414" s="414"/>
      <c r="F414" s="414"/>
      <c r="G414" s="414"/>
      <c r="H414" s="414"/>
      <c r="I414" s="415"/>
      <c r="J414" s="413"/>
      <c r="K414" s="415"/>
      <c r="L414" s="416"/>
      <c r="M414" s="414"/>
    </row>
    <row r="415" spans="1:13">
      <c r="A415" s="413"/>
      <c r="B415" s="413"/>
      <c r="C415" s="414"/>
      <c r="D415" s="413"/>
      <c r="E415" s="414"/>
      <c r="F415" s="414"/>
      <c r="G415" s="414"/>
      <c r="H415" s="414"/>
      <c r="I415" s="415"/>
      <c r="J415" s="413"/>
      <c r="K415" s="415"/>
      <c r="L415" s="416"/>
      <c r="M415" s="414"/>
    </row>
    <row r="416" spans="1:13">
      <c r="A416" s="413"/>
      <c r="B416" s="413"/>
      <c r="C416" s="414"/>
      <c r="D416" s="413"/>
      <c r="E416" s="414"/>
      <c r="F416" s="414"/>
      <c r="G416" s="414"/>
      <c r="H416" s="414"/>
      <c r="I416" s="415"/>
      <c r="J416" s="413"/>
      <c r="K416" s="415"/>
      <c r="L416" s="416"/>
      <c r="M416" s="414"/>
    </row>
    <row r="417" spans="1:13">
      <c r="A417" s="413"/>
      <c r="B417" s="413"/>
      <c r="C417" s="414"/>
      <c r="D417" s="413"/>
      <c r="E417" s="414"/>
      <c r="F417" s="414"/>
      <c r="G417" s="414"/>
      <c r="H417" s="414"/>
      <c r="I417" s="415"/>
      <c r="J417" s="413"/>
      <c r="K417" s="415"/>
      <c r="L417" s="416"/>
      <c r="M417" s="414"/>
    </row>
    <row r="418" spans="1:13">
      <c r="A418" s="413"/>
      <c r="B418" s="413"/>
      <c r="C418" s="414"/>
      <c r="D418" s="413"/>
      <c r="E418" s="414"/>
      <c r="F418" s="414"/>
      <c r="G418" s="414"/>
      <c r="H418" s="414"/>
      <c r="I418" s="415"/>
      <c r="J418" s="413"/>
      <c r="K418" s="415"/>
      <c r="L418" s="416"/>
      <c r="M418" s="414"/>
    </row>
    <row r="419" spans="1:13">
      <c r="A419" s="413"/>
      <c r="B419" s="413"/>
      <c r="C419" s="414"/>
      <c r="D419" s="413"/>
      <c r="E419" s="414"/>
      <c r="F419" s="414"/>
      <c r="G419" s="414"/>
      <c r="H419" s="414"/>
      <c r="I419" s="415"/>
      <c r="J419" s="413"/>
      <c r="K419" s="415"/>
      <c r="L419" s="416"/>
      <c r="M419" s="414"/>
    </row>
    <row r="420" spans="1:13">
      <c r="A420" s="413"/>
      <c r="B420" s="413"/>
      <c r="C420" s="414"/>
      <c r="D420" s="413"/>
      <c r="E420" s="414"/>
      <c r="F420" s="414"/>
      <c r="G420" s="414"/>
      <c r="H420" s="414"/>
      <c r="I420" s="415"/>
      <c r="J420" s="413"/>
      <c r="K420" s="415"/>
      <c r="L420" s="416"/>
      <c r="M420" s="414"/>
    </row>
    <row r="421" spans="1:13">
      <c r="A421" s="413"/>
      <c r="B421" s="413"/>
      <c r="C421" s="414"/>
      <c r="D421" s="413"/>
      <c r="E421" s="414"/>
      <c r="F421" s="414"/>
      <c r="G421" s="414"/>
      <c r="H421" s="414"/>
      <c r="I421" s="415"/>
      <c r="J421" s="413"/>
      <c r="K421" s="415"/>
      <c r="L421" s="416"/>
      <c r="M421" s="414"/>
    </row>
    <row r="422" spans="1:13">
      <c r="A422" s="413"/>
      <c r="B422" s="413"/>
      <c r="C422" s="414"/>
      <c r="D422" s="413"/>
      <c r="E422" s="414"/>
      <c r="F422" s="414"/>
      <c r="G422" s="414"/>
      <c r="H422" s="414"/>
      <c r="I422" s="415"/>
      <c r="J422" s="413"/>
      <c r="K422" s="415"/>
      <c r="L422" s="416"/>
      <c r="M422" s="414"/>
    </row>
    <row r="423" spans="1:13">
      <c r="A423" s="413"/>
      <c r="B423" s="413"/>
      <c r="C423" s="414"/>
      <c r="D423" s="413"/>
      <c r="E423" s="414"/>
      <c r="F423" s="414"/>
      <c r="G423" s="414"/>
      <c r="H423" s="414"/>
      <c r="I423" s="415"/>
      <c r="J423" s="413"/>
      <c r="K423" s="415"/>
      <c r="L423" s="416"/>
      <c r="M423" s="414"/>
    </row>
    <row r="424" spans="1:13">
      <c r="A424" s="413"/>
      <c r="B424" s="413"/>
      <c r="C424" s="414"/>
      <c r="D424" s="413"/>
      <c r="E424" s="414"/>
      <c r="F424" s="414"/>
      <c r="G424" s="414"/>
      <c r="H424" s="414"/>
      <c r="I424" s="415"/>
      <c r="J424" s="413"/>
      <c r="K424" s="415"/>
      <c r="L424" s="416"/>
      <c r="M424" s="414"/>
    </row>
    <row r="425" spans="1:13">
      <c r="A425" s="413"/>
      <c r="B425" s="413"/>
      <c r="C425" s="414"/>
      <c r="D425" s="413"/>
      <c r="E425" s="414"/>
      <c r="F425" s="414"/>
      <c r="G425" s="414"/>
      <c r="H425" s="414"/>
      <c r="I425" s="415"/>
      <c r="J425" s="413"/>
      <c r="K425" s="415"/>
      <c r="L425" s="416"/>
      <c r="M425" s="414"/>
    </row>
    <row r="426" spans="1:13">
      <c r="A426" s="413"/>
      <c r="B426" s="413"/>
      <c r="C426" s="414"/>
      <c r="D426" s="413"/>
      <c r="E426" s="414"/>
      <c r="F426" s="414"/>
      <c r="G426" s="414"/>
      <c r="H426" s="414"/>
      <c r="I426" s="415"/>
      <c r="J426" s="413"/>
      <c r="K426" s="415"/>
      <c r="L426" s="416"/>
      <c r="M426" s="414"/>
    </row>
    <row r="427" spans="1:13">
      <c r="A427" s="413"/>
      <c r="B427" s="413"/>
      <c r="C427" s="414"/>
      <c r="D427" s="413"/>
      <c r="E427" s="414"/>
      <c r="F427" s="414"/>
      <c r="G427" s="414"/>
      <c r="H427" s="414"/>
      <c r="I427" s="415"/>
      <c r="J427" s="413"/>
      <c r="K427" s="415"/>
      <c r="L427" s="416"/>
      <c r="M427" s="414"/>
    </row>
    <row r="428" spans="1:13">
      <c r="A428" s="413"/>
      <c r="B428" s="413"/>
      <c r="C428" s="414"/>
      <c r="D428" s="413"/>
      <c r="E428" s="414"/>
      <c r="F428" s="414"/>
      <c r="G428" s="414"/>
      <c r="H428" s="414"/>
      <c r="I428" s="415"/>
      <c r="J428" s="413"/>
      <c r="K428" s="415"/>
      <c r="L428" s="416"/>
      <c r="M428" s="414"/>
    </row>
    <row r="429" spans="1:13">
      <c r="A429" s="413"/>
      <c r="B429" s="413"/>
      <c r="C429" s="414"/>
      <c r="D429" s="413"/>
      <c r="E429" s="414"/>
      <c r="F429" s="414"/>
      <c r="G429" s="414"/>
      <c r="H429" s="414"/>
      <c r="I429" s="415"/>
      <c r="J429" s="413"/>
      <c r="K429" s="415"/>
      <c r="L429" s="416"/>
      <c r="M429" s="414"/>
    </row>
    <row r="430" spans="1:13">
      <c r="A430" s="413"/>
      <c r="B430" s="413"/>
      <c r="C430" s="414"/>
      <c r="D430" s="413"/>
      <c r="E430" s="414"/>
      <c r="F430" s="414"/>
      <c r="G430" s="414"/>
      <c r="H430" s="414"/>
      <c r="I430" s="415"/>
      <c r="J430" s="413"/>
      <c r="K430" s="415"/>
      <c r="L430" s="416"/>
      <c r="M430" s="414"/>
    </row>
    <row r="431" spans="1:13">
      <c r="A431" s="413"/>
      <c r="B431" s="413"/>
      <c r="C431" s="414"/>
      <c r="D431" s="413"/>
      <c r="E431" s="414"/>
      <c r="F431" s="414"/>
      <c r="G431" s="414"/>
      <c r="H431" s="414"/>
      <c r="I431" s="415"/>
      <c r="J431" s="413"/>
      <c r="K431" s="415"/>
      <c r="L431" s="416"/>
      <c r="M431" s="414"/>
    </row>
    <row r="432" spans="1:13">
      <c r="A432" s="413"/>
      <c r="B432" s="413"/>
      <c r="C432" s="414"/>
      <c r="D432" s="413"/>
      <c r="E432" s="414"/>
      <c r="F432" s="414"/>
      <c r="G432" s="414"/>
      <c r="H432" s="414"/>
      <c r="I432" s="415"/>
      <c r="J432" s="413"/>
      <c r="K432" s="415"/>
      <c r="L432" s="416"/>
      <c r="M432" s="414"/>
    </row>
    <row r="433" spans="1:13">
      <c r="A433" s="413"/>
      <c r="B433" s="413"/>
      <c r="C433" s="414"/>
      <c r="D433" s="413"/>
      <c r="E433" s="414"/>
      <c r="F433" s="414"/>
      <c r="G433" s="414"/>
      <c r="H433" s="414"/>
      <c r="I433" s="415"/>
      <c r="J433" s="413"/>
      <c r="K433" s="415"/>
      <c r="L433" s="416"/>
      <c r="M433" s="414"/>
    </row>
    <row r="434" spans="1:13">
      <c r="A434" s="413"/>
      <c r="B434" s="413"/>
      <c r="C434" s="414"/>
      <c r="D434" s="413"/>
      <c r="E434" s="414"/>
      <c r="F434" s="414"/>
      <c r="G434" s="414"/>
      <c r="H434" s="414"/>
      <c r="I434" s="415"/>
      <c r="J434" s="413"/>
      <c r="K434" s="415"/>
      <c r="L434" s="416"/>
      <c r="M434" s="414"/>
    </row>
    <row r="435" spans="1:13">
      <c r="A435" s="413"/>
      <c r="B435" s="413"/>
      <c r="C435" s="414"/>
      <c r="D435" s="413"/>
      <c r="E435" s="414"/>
      <c r="F435" s="414"/>
      <c r="G435" s="414"/>
      <c r="H435" s="414"/>
      <c r="I435" s="415"/>
      <c r="J435" s="413"/>
      <c r="K435" s="415"/>
      <c r="L435" s="416"/>
      <c r="M435" s="414"/>
    </row>
    <row r="436" spans="1:13">
      <c r="A436" s="413"/>
      <c r="B436" s="413"/>
      <c r="C436" s="414"/>
      <c r="D436" s="413"/>
      <c r="E436" s="414"/>
      <c r="F436" s="414"/>
      <c r="G436" s="414"/>
      <c r="H436" s="414"/>
      <c r="I436" s="415"/>
      <c r="J436" s="413"/>
      <c r="K436" s="415"/>
      <c r="L436" s="416"/>
      <c r="M436" s="414"/>
    </row>
    <row r="437" spans="1:13">
      <c r="A437" s="413"/>
      <c r="B437" s="413"/>
      <c r="C437" s="414"/>
      <c r="D437" s="413"/>
      <c r="E437" s="414"/>
      <c r="F437" s="414"/>
      <c r="G437" s="414"/>
      <c r="H437" s="414"/>
      <c r="I437" s="415"/>
      <c r="J437" s="413"/>
      <c r="K437" s="415"/>
      <c r="L437" s="416"/>
      <c r="M437" s="414"/>
    </row>
    <row r="438" spans="1:13">
      <c r="A438" s="413"/>
      <c r="B438" s="413"/>
      <c r="C438" s="414"/>
      <c r="D438" s="413"/>
      <c r="E438" s="414"/>
      <c r="F438" s="414"/>
      <c r="G438" s="414"/>
      <c r="H438" s="414"/>
      <c r="I438" s="415"/>
      <c r="J438" s="413"/>
      <c r="K438" s="415"/>
      <c r="L438" s="416"/>
      <c r="M438" s="414"/>
    </row>
    <row r="439" spans="1:13">
      <c r="A439" s="413"/>
      <c r="B439" s="413"/>
      <c r="C439" s="414"/>
      <c r="D439" s="413"/>
      <c r="E439" s="414"/>
      <c r="F439" s="414"/>
      <c r="G439" s="414"/>
      <c r="H439" s="414"/>
      <c r="I439" s="415"/>
      <c r="J439" s="413"/>
      <c r="K439" s="415"/>
      <c r="L439" s="416"/>
      <c r="M439" s="414"/>
    </row>
    <row r="440" spans="1:13">
      <c r="A440" s="413"/>
      <c r="B440" s="413"/>
      <c r="C440" s="414"/>
      <c r="D440" s="413"/>
      <c r="E440" s="414"/>
      <c r="F440" s="414"/>
      <c r="G440" s="414"/>
      <c r="H440" s="414"/>
      <c r="I440" s="415"/>
      <c r="J440" s="413"/>
      <c r="K440" s="415"/>
      <c r="L440" s="416"/>
      <c r="M440" s="414"/>
    </row>
    <row r="441" spans="1:13">
      <c r="A441" s="413"/>
      <c r="B441" s="413"/>
      <c r="C441" s="414"/>
      <c r="D441" s="413"/>
      <c r="E441" s="414"/>
      <c r="F441" s="414"/>
      <c r="G441" s="414"/>
      <c r="H441" s="414"/>
      <c r="I441" s="415"/>
      <c r="J441" s="413"/>
      <c r="K441" s="415"/>
      <c r="L441" s="416"/>
      <c r="M441" s="414"/>
    </row>
    <row r="442" spans="1:13">
      <c r="A442" s="413"/>
      <c r="B442" s="413"/>
      <c r="C442" s="414"/>
      <c r="D442" s="413"/>
      <c r="E442" s="414"/>
      <c r="F442" s="414"/>
      <c r="G442" s="414"/>
      <c r="H442" s="414"/>
      <c r="I442" s="415"/>
      <c r="J442" s="413"/>
      <c r="K442" s="415"/>
      <c r="L442" s="416"/>
      <c r="M442" s="414"/>
    </row>
    <row r="443" spans="1:13">
      <c r="A443" s="413"/>
      <c r="B443" s="413"/>
      <c r="C443" s="414"/>
      <c r="D443" s="413"/>
      <c r="E443" s="414"/>
      <c r="F443" s="414"/>
      <c r="G443" s="414"/>
      <c r="H443" s="414"/>
      <c r="I443" s="415"/>
      <c r="J443" s="413"/>
      <c r="K443" s="415"/>
      <c r="L443" s="416"/>
      <c r="M443" s="414"/>
    </row>
    <row r="444" spans="1:13">
      <c r="A444" s="413"/>
      <c r="B444" s="413"/>
      <c r="C444" s="414"/>
      <c r="D444" s="413"/>
      <c r="E444" s="414"/>
      <c r="F444" s="414"/>
      <c r="G444" s="414"/>
      <c r="H444" s="414"/>
      <c r="I444" s="415"/>
      <c r="J444" s="413"/>
      <c r="K444" s="415"/>
      <c r="L444" s="416"/>
      <c r="M444" s="414"/>
    </row>
    <row r="445" spans="1:13">
      <c r="A445" s="413"/>
      <c r="B445" s="413"/>
      <c r="C445" s="414"/>
      <c r="D445" s="413"/>
      <c r="E445" s="414"/>
      <c r="F445" s="414"/>
      <c r="G445" s="414"/>
      <c r="H445" s="414"/>
      <c r="I445" s="415"/>
      <c r="J445" s="413"/>
      <c r="K445" s="415"/>
      <c r="L445" s="416"/>
      <c r="M445" s="414"/>
    </row>
    <row r="446" spans="1:13">
      <c r="A446" s="413"/>
      <c r="B446" s="413"/>
      <c r="C446" s="414"/>
      <c r="D446" s="413"/>
      <c r="E446" s="414"/>
      <c r="F446" s="414"/>
      <c r="G446" s="414"/>
      <c r="H446" s="414"/>
      <c r="I446" s="415"/>
      <c r="J446" s="413"/>
      <c r="K446" s="415"/>
      <c r="L446" s="416"/>
      <c r="M446" s="414"/>
    </row>
    <row r="447" spans="1:13">
      <c r="A447" s="413"/>
      <c r="B447" s="413"/>
      <c r="C447" s="414"/>
      <c r="D447" s="413"/>
      <c r="E447" s="414"/>
      <c r="F447" s="414"/>
      <c r="G447" s="414"/>
      <c r="H447" s="414"/>
      <c r="I447" s="415"/>
      <c r="J447" s="413"/>
      <c r="K447" s="415"/>
      <c r="L447" s="416"/>
      <c r="M447" s="414"/>
    </row>
    <row r="448" spans="1:13">
      <c r="A448" s="413"/>
      <c r="B448" s="413"/>
      <c r="C448" s="414"/>
      <c r="D448" s="413"/>
      <c r="E448" s="414"/>
      <c r="F448" s="414"/>
      <c r="G448" s="414"/>
      <c r="H448" s="414"/>
      <c r="I448" s="415"/>
      <c r="J448" s="413"/>
      <c r="K448" s="415"/>
      <c r="L448" s="416"/>
      <c r="M448" s="414"/>
    </row>
    <row r="449" spans="1:13">
      <c r="A449" s="413"/>
      <c r="B449" s="413"/>
      <c r="C449" s="414"/>
      <c r="D449" s="413"/>
      <c r="E449" s="414"/>
      <c r="F449" s="414"/>
      <c r="G449" s="414"/>
      <c r="H449" s="414"/>
      <c r="I449" s="415"/>
      <c r="J449" s="413"/>
      <c r="K449" s="415"/>
      <c r="L449" s="416"/>
      <c r="M449" s="414"/>
    </row>
    <row r="450" spans="1:13">
      <c r="A450" s="413"/>
      <c r="B450" s="413"/>
      <c r="C450" s="414"/>
      <c r="D450" s="413"/>
      <c r="E450" s="414"/>
      <c r="F450" s="414"/>
      <c r="G450" s="414"/>
      <c r="H450" s="414"/>
      <c r="I450" s="415"/>
      <c r="J450" s="413"/>
      <c r="K450" s="415"/>
      <c r="L450" s="416"/>
      <c r="M450" s="414"/>
    </row>
    <row r="451" spans="1:13">
      <c r="A451" s="413"/>
      <c r="B451" s="413"/>
      <c r="C451" s="414"/>
      <c r="D451" s="413"/>
      <c r="E451" s="414"/>
      <c r="F451" s="414"/>
      <c r="G451" s="414"/>
      <c r="H451" s="414"/>
      <c r="I451" s="415"/>
      <c r="J451" s="413"/>
      <c r="K451" s="415"/>
      <c r="L451" s="416"/>
      <c r="M451" s="414"/>
    </row>
    <row r="452" spans="1:13">
      <c r="A452" s="413"/>
      <c r="B452" s="413"/>
      <c r="C452" s="414"/>
      <c r="D452" s="413"/>
      <c r="E452" s="414"/>
      <c r="F452" s="414"/>
      <c r="G452" s="414"/>
      <c r="H452" s="414"/>
      <c r="I452" s="415"/>
      <c r="J452" s="413"/>
      <c r="K452" s="415"/>
      <c r="L452" s="416"/>
      <c r="M452" s="414"/>
    </row>
    <row r="453" spans="1:13">
      <c r="A453" s="413"/>
      <c r="B453" s="413"/>
      <c r="C453" s="414"/>
      <c r="D453" s="413"/>
      <c r="E453" s="414"/>
      <c r="F453" s="414"/>
      <c r="G453" s="414"/>
      <c r="H453" s="414"/>
      <c r="I453" s="415"/>
      <c r="J453" s="413"/>
      <c r="K453" s="415"/>
      <c r="L453" s="416"/>
      <c r="M453" s="414"/>
    </row>
    <row r="454" spans="1:13">
      <c r="A454" s="413"/>
      <c r="B454" s="413"/>
      <c r="C454" s="414"/>
      <c r="D454" s="413"/>
      <c r="E454" s="414"/>
      <c r="F454" s="414"/>
      <c r="G454" s="414"/>
      <c r="H454" s="414"/>
      <c r="I454" s="415"/>
      <c r="J454" s="413"/>
      <c r="K454" s="415"/>
      <c r="L454" s="416"/>
      <c r="M454" s="414"/>
    </row>
    <row r="455" spans="1:13">
      <c r="A455" s="413"/>
      <c r="B455" s="413"/>
      <c r="C455" s="414"/>
      <c r="D455" s="413"/>
      <c r="E455" s="414"/>
      <c r="F455" s="414"/>
      <c r="G455" s="414"/>
      <c r="H455" s="414"/>
      <c r="I455" s="415"/>
      <c r="J455" s="413"/>
      <c r="K455" s="415"/>
      <c r="L455" s="416"/>
      <c r="M455" s="414"/>
    </row>
    <row r="456" spans="1:13">
      <c r="A456" s="413"/>
      <c r="B456" s="413"/>
      <c r="C456" s="414"/>
      <c r="D456" s="413"/>
      <c r="E456" s="414"/>
      <c r="F456" s="414"/>
      <c r="G456" s="414"/>
      <c r="H456" s="414"/>
      <c r="I456" s="415"/>
      <c r="J456" s="413"/>
      <c r="K456" s="415"/>
      <c r="L456" s="416"/>
      <c r="M456" s="414"/>
    </row>
    <row r="457" spans="1:13">
      <c r="A457" s="413"/>
      <c r="B457" s="413"/>
      <c r="C457" s="414"/>
      <c r="D457" s="413"/>
      <c r="E457" s="414"/>
      <c r="F457" s="414"/>
      <c r="G457" s="414"/>
      <c r="H457" s="414"/>
      <c r="I457" s="415"/>
      <c r="J457" s="413"/>
      <c r="K457" s="415"/>
      <c r="L457" s="416"/>
      <c r="M457" s="414"/>
    </row>
    <row r="458" spans="1:13">
      <c r="A458" s="413"/>
      <c r="B458" s="413"/>
      <c r="C458" s="414"/>
      <c r="D458" s="413"/>
      <c r="E458" s="414"/>
      <c r="F458" s="414"/>
      <c r="G458" s="414"/>
      <c r="H458" s="414"/>
      <c r="I458" s="415"/>
      <c r="J458" s="413"/>
      <c r="K458" s="415"/>
      <c r="L458" s="416"/>
      <c r="M458" s="414"/>
    </row>
    <row r="459" spans="1:13">
      <c r="A459" s="413"/>
      <c r="B459" s="413"/>
      <c r="C459" s="414"/>
      <c r="D459" s="413"/>
      <c r="E459" s="414"/>
      <c r="F459" s="414"/>
      <c r="G459" s="414"/>
      <c r="H459" s="414"/>
      <c r="I459" s="415"/>
      <c r="J459" s="413"/>
      <c r="K459" s="415"/>
      <c r="L459" s="416"/>
      <c r="M459" s="414"/>
    </row>
    <row r="460" spans="1:13">
      <c r="A460" s="413"/>
      <c r="B460" s="413"/>
      <c r="C460" s="414"/>
      <c r="D460" s="413"/>
      <c r="E460" s="414"/>
      <c r="F460" s="414"/>
      <c r="G460" s="414"/>
      <c r="H460" s="414"/>
      <c r="I460" s="415"/>
      <c r="J460" s="413"/>
      <c r="K460" s="415"/>
      <c r="L460" s="416"/>
      <c r="M460" s="414"/>
    </row>
    <row r="461" spans="1:13">
      <c r="A461" s="413"/>
      <c r="B461" s="413"/>
      <c r="C461" s="414"/>
      <c r="D461" s="413"/>
      <c r="E461" s="414"/>
      <c r="F461" s="414"/>
      <c r="G461" s="414"/>
      <c r="H461" s="414"/>
      <c r="I461" s="415"/>
      <c r="J461" s="413"/>
      <c r="K461" s="415"/>
      <c r="L461" s="416"/>
      <c r="M461" s="414"/>
    </row>
    <row r="462" spans="1:13">
      <c r="A462" s="413"/>
      <c r="B462" s="413"/>
      <c r="C462" s="414"/>
      <c r="D462" s="413"/>
      <c r="E462" s="414"/>
      <c r="F462" s="414"/>
      <c r="G462" s="414"/>
      <c r="H462" s="414"/>
      <c r="I462" s="415"/>
      <c r="J462" s="413"/>
      <c r="K462" s="415"/>
      <c r="L462" s="416"/>
      <c r="M462" s="414"/>
    </row>
    <row r="463" spans="1:13">
      <c r="A463" s="413"/>
      <c r="B463" s="413"/>
      <c r="C463" s="414"/>
      <c r="D463" s="413"/>
      <c r="E463" s="414"/>
      <c r="F463" s="414"/>
      <c r="G463" s="414"/>
      <c r="H463" s="414"/>
      <c r="I463" s="415"/>
      <c r="J463" s="413"/>
      <c r="K463" s="415"/>
      <c r="L463" s="416"/>
      <c r="M463" s="414"/>
    </row>
    <row r="464" spans="1:13">
      <c r="A464" s="413"/>
      <c r="B464" s="413"/>
      <c r="C464" s="414"/>
      <c r="D464" s="413"/>
      <c r="E464" s="414"/>
      <c r="F464" s="414"/>
      <c r="G464" s="414"/>
      <c r="H464" s="414"/>
      <c r="I464" s="415"/>
      <c r="J464" s="413"/>
      <c r="K464" s="415"/>
      <c r="L464" s="416"/>
      <c r="M464" s="414"/>
    </row>
    <row r="465" spans="1:13">
      <c r="A465" s="413"/>
      <c r="B465" s="413"/>
      <c r="C465" s="414"/>
      <c r="D465" s="413"/>
      <c r="E465" s="414"/>
      <c r="F465" s="414"/>
      <c r="G465" s="414"/>
      <c r="H465" s="414"/>
      <c r="I465" s="415"/>
      <c r="J465" s="413"/>
      <c r="K465" s="415"/>
      <c r="L465" s="416"/>
      <c r="M465" s="414"/>
    </row>
    <row r="466" spans="1:13">
      <c r="A466" s="413"/>
      <c r="B466" s="413"/>
      <c r="C466" s="414"/>
      <c r="D466" s="413"/>
      <c r="E466" s="414"/>
      <c r="F466" s="414"/>
      <c r="G466" s="414"/>
      <c r="H466" s="414"/>
      <c r="I466" s="415"/>
      <c r="J466" s="413"/>
      <c r="K466" s="415"/>
      <c r="L466" s="416"/>
      <c r="M466" s="414"/>
    </row>
    <row r="467" spans="1:13">
      <c r="A467" s="413"/>
      <c r="B467" s="413"/>
      <c r="C467" s="414"/>
      <c r="D467" s="413"/>
      <c r="E467" s="414"/>
      <c r="F467" s="414"/>
      <c r="G467" s="414"/>
      <c r="H467" s="414"/>
      <c r="I467" s="415"/>
      <c r="J467" s="413"/>
      <c r="K467" s="415"/>
      <c r="L467" s="416"/>
      <c r="M467" s="414"/>
    </row>
    <row r="468" spans="1:13">
      <c r="A468" s="413"/>
      <c r="B468" s="413"/>
      <c r="C468" s="414"/>
      <c r="D468" s="413"/>
      <c r="E468" s="414"/>
      <c r="F468" s="414"/>
      <c r="G468" s="414"/>
      <c r="H468" s="414"/>
      <c r="I468" s="415"/>
      <c r="J468" s="413"/>
      <c r="K468" s="415"/>
      <c r="L468" s="416"/>
      <c r="M468" s="414"/>
    </row>
    <row r="469" spans="1:13">
      <c r="A469" s="413"/>
      <c r="B469" s="413"/>
      <c r="C469" s="414"/>
      <c r="D469" s="413"/>
      <c r="E469" s="414"/>
      <c r="F469" s="414"/>
      <c r="G469" s="414"/>
      <c r="H469" s="414"/>
      <c r="I469" s="415"/>
      <c r="J469" s="413"/>
      <c r="K469" s="415"/>
      <c r="L469" s="416"/>
      <c r="M469" s="414"/>
    </row>
    <row r="470" spans="1:13">
      <c r="A470" s="413"/>
      <c r="B470" s="413"/>
      <c r="C470" s="414"/>
      <c r="D470" s="413"/>
      <c r="E470" s="414"/>
      <c r="F470" s="414"/>
      <c r="G470" s="414"/>
      <c r="H470" s="414"/>
      <c r="I470" s="415"/>
      <c r="J470" s="413"/>
      <c r="K470" s="415"/>
      <c r="L470" s="416"/>
      <c r="M470" s="414"/>
    </row>
    <row r="471" spans="1:13">
      <c r="A471" s="413"/>
      <c r="B471" s="413"/>
      <c r="C471" s="414"/>
      <c r="D471" s="413"/>
      <c r="E471" s="414"/>
      <c r="F471" s="414"/>
      <c r="G471" s="414"/>
      <c r="H471" s="414"/>
      <c r="I471" s="415"/>
      <c r="J471" s="413"/>
      <c r="K471" s="415"/>
      <c r="L471" s="416"/>
      <c r="M471" s="414"/>
    </row>
    <row r="472" spans="1:13">
      <c r="A472" s="413"/>
      <c r="B472" s="413"/>
      <c r="C472" s="414"/>
      <c r="D472" s="413"/>
      <c r="E472" s="414"/>
      <c r="F472" s="414"/>
      <c r="G472" s="414"/>
      <c r="H472" s="414"/>
      <c r="I472" s="415"/>
      <c r="J472" s="413"/>
      <c r="K472" s="415"/>
      <c r="L472" s="416"/>
      <c r="M472" s="414"/>
    </row>
    <row r="473" spans="1:13">
      <c r="A473" s="413"/>
      <c r="B473" s="413"/>
      <c r="C473" s="414"/>
      <c r="D473" s="413"/>
      <c r="E473" s="414"/>
      <c r="F473" s="414"/>
      <c r="G473" s="414"/>
      <c r="H473" s="414"/>
      <c r="I473" s="415"/>
      <c r="J473" s="413"/>
      <c r="K473" s="415"/>
      <c r="L473" s="416"/>
      <c r="M473" s="414"/>
    </row>
    <row r="474" spans="1:13">
      <c r="A474" s="413"/>
      <c r="B474" s="413"/>
      <c r="C474" s="414"/>
      <c r="D474" s="413"/>
      <c r="E474" s="414"/>
      <c r="F474" s="414"/>
      <c r="G474" s="414"/>
      <c r="H474" s="414"/>
      <c r="I474" s="415"/>
      <c r="J474" s="413"/>
      <c r="K474" s="415"/>
      <c r="L474" s="416"/>
      <c r="M474" s="414"/>
    </row>
    <row r="475" spans="1:13">
      <c r="A475" s="413"/>
      <c r="B475" s="413"/>
      <c r="C475" s="414"/>
      <c r="D475" s="413"/>
      <c r="E475" s="414"/>
      <c r="F475" s="414"/>
      <c r="G475" s="414"/>
      <c r="H475" s="414"/>
      <c r="I475" s="415"/>
      <c r="J475" s="413"/>
      <c r="K475" s="415"/>
      <c r="L475" s="416"/>
      <c r="M475" s="414"/>
    </row>
    <row r="476" spans="1:13">
      <c r="A476" s="413"/>
      <c r="B476" s="413"/>
      <c r="C476" s="414"/>
      <c r="D476" s="413"/>
      <c r="E476" s="414"/>
      <c r="F476" s="414"/>
      <c r="G476" s="414"/>
      <c r="H476" s="414"/>
      <c r="I476" s="415"/>
      <c r="J476" s="413"/>
      <c r="K476" s="415"/>
      <c r="L476" s="416"/>
      <c r="M476" s="414"/>
    </row>
    <row r="477" spans="1:13">
      <c r="A477" s="413"/>
      <c r="B477" s="413"/>
      <c r="C477" s="414"/>
      <c r="D477" s="413"/>
      <c r="E477" s="414"/>
      <c r="F477" s="414"/>
      <c r="G477" s="414"/>
      <c r="H477" s="414"/>
      <c r="I477" s="415"/>
      <c r="J477" s="413"/>
      <c r="K477" s="415"/>
      <c r="L477" s="416"/>
      <c r="M477" s="414"/>
    </row>
    <row r="478" spans="1:13">
      <c r="A478" s="413"/>
      <c r="B478" s="413"/>
      <c r="C478" s="414"/>
      <c r="D478" s="413"/>
      <c r="E478" s="414"/>
      <c r="F478" s="414"/>
      <c r="G478" s="414"/>
      <c r="H478" s="414"/>
      <c r="I478" s="415"/>
      <c r="J478" s="413"/>
      <c r="K478" s="415"/>
      <c r="L478" s="416"/>
      <c r="M478" s="414"/>
    </row>
    <row r="479" spans="1:13">
      <c r="A479" s="413"/>
      <c r="B479" s="413"/>
      <c r="C479" s="414"/>
      <c r="D479" s="413"/>
      <c r="E479" s="414"/>
      <c r="F479" s="414"/>
      <c r="G479" s="414"/>
      <c r="H479" s="414"/>
      <c r="I479" s="415"/>
      <c r="J479" s="413"/>
      <c r="K479" s="415"/>
      <c r="L479" s="416"/>
      <c r="M479" s="414"/>
    </row>
    <row r="480" spans="1:13">
      <c r="A480" s="413"/>
      <c r="B480" s="413"/>
      <c r="C480" s="414"/>
      <c r="D480" s="413"/>
      <c r="E480" s="414"/>
      <c r="F480" s="414"/>
      <c r="G480" s="414"/>
      <c r="H480" s="414"/>
      <c r="I480" s="415"/>
      <c r="J480" s="413"/>
      <c r="K480" s="415"/>
      <c r="L480" s="416"/>
      <c r="M480" s="414"/>
    </row>
    <row r="481" spans="1:13">
      <c r="A481" s="413"/>
      <c r="B481" s="413"/>
      <c r="C481" s="414"/>
      <c r="D481" s="413"/>
      <c r="E481" s="414"/>
      <c r="F481" s="414"/>
      <c r="G481" s="414"/>
      <c r="H481" s="414"/>
      <c r="I481" s="415"/>
      <c r="J481" s="413"/>
      <c r="K481" s="415"/>
      <c r="L481" s="416"/>
      <c r="M481" s="414"/>
    </row>
    <row r="482" spans="1:13">
      <c r="A482" s="413"/>
      <c r="B482" s="413"/>
      <c r="C482" s="414"/>
      <c r="D482" s="413"/>
      <c r="E482" s="414"/>
      <c r="F482" s="414"/>
      <c r="G482" s="414"/>
      <c r="H482" s="414"/>
      <c r="I482" s="415"/>
      <c r="J482" s="413"/>
      <c r="K482" s="415"/>
      <c r="L482" s="416"/>
      <c r="M482" s="414"/>
    </row>
    <row r="483" spans="1:13">
      <c r="A483" s="413"/>
      <c r="B483" s="413"/>
      <c r="C483" s="414"/>
      <c r="D483" s="413"/>
      <c r="E483" s="414"/>
      <c r="F483" s="414"/>
      <c r="G483" s="414"/>
      <c r="H483" s="414"/>
      <c r="I483" s="415"/>
      <c r="J483" s="413"/>
      <c r="K483" s="415"/>
      <c r="L483" s="416"/>
      <c r="M483" s="414"/>
    </row>
    <row r="484" spans="1:13">
      <c r="A484" s="413"/>
      <c r="B484" s="413"/>
      <c r="C484" s="414"/>
      <c r="D484" s="413"/>
      <c r="E484" s="414"/>
      <c r="F484" s="414"/>
      <c r="G484" s="414"/>
      <c r="H484" s="414"/>
      <c r="I484" s="415"/>
      <c r="J484" s="413"/>
      <c r="K484" s="415"/>
      <c r="L484" s="416"/>
      <c r="M484" s="414"/>
    </row>
    <row r="485" spans="1:13">
      <c r="A485" s="413"/>
      <c r="B485" s="413"/>
      <c r="C485" s="414"/>
      <c r="D485" s="413"/>
      <c r="E485" s="414"/>
      <c r="F485" s="414"/>
      <c r="G485" s="414"/>
      <c r="H485" s="414"/>
      <c r="I485" s="415"/>
      <c r="J485" s="413"/>
      <c r="K485" s="415"/>
      <c r="L485" s="416"/>
      <c r="M485" s="414"/>
    </row>
    <row r="486" spans="1:13">
      <c r="A486" s="413"/>
      <c r="B486" s="413"/>
      <c r="C486" s="414"/>
      <c r="D486" s="413"/>
      <c r="E486" s="414"/>
      <c r="F486" s="414"/>
      <c r="G486" s="414"/>
      <c r="H486" s="414"/>
      <c r="I486" s="415"/>
      <c r="J486" s="413"/>
      <c r="K486" s="415"/>
      <c r="L486" s="416"/>
      <c r="M486" s="414"/>
    </row>
    <row r="487" spans="1:13">
      <c r="A487" s="413"/>
      <c r="B487" s="413"/>
      <c r="C487" s="414"/>
      <c r="D487" s="413"/>
      <c r="E487" s="414"/>
      <c r="F487" s="414"/>
      <c r="G487" s="414"/>
      <c r="H487" s="414"/>
      <c r="I487" s="415"/>
      <c r="J487" s="413"/>
      <c r="K487" s="415"/>
      <c r="L487" s="416"/>
      <c r="M487" s="414"/>
    </row>
    <row r="488" spans="1:13">
      <c r="A488" s="413"/>
      <c r="B488" s="413"/>
      <c r="C488" s="414"/>
      <c r="D488" s="413"/>
      <c r="E488" s="414"/>
      <c r="F488" s="414"/>
      <c r="G488" s="414"/>
      <c r="H488" s="414"/>
      <c r="I488" s="415"/>
      <c r="J488" s="413"/>
      <c r="K488" s="415"/>
      <c r="L488" s="416"/>
      <c r="M488" s="414"/>
    </row>
    <row r="489" spans="1:13">
      <c r="A489" s="413"/>
      <c r="B489" s="413"/>
      <c r="C489" s="414"/>
      <c r="D489" s="413"/>
      <c r="E489" s="414"/>
      <c r="F489" s="414"/>
      <c r="G489" s="414"/>
      <c r="H489" s="414"/>
      <c r="I489" s="415"/>
      <c r="J489" s="413"/>
      <c r="K489" s="415"/>
      <c r="L489" s="416"/>
      <c r="M489" s="414"/>
    </row>
    <row r="490" spans="1:13">
      <c r="A490" s="413"/>
      <c r="B490" s="413"/>
      <c r="C490" s="414"/>
      <c r="D490" s="413"/>
      <c r="E490" s="414"/>
      <c r="F490" s="414"/>
      <c r="G490" s="414"/>
      <c r="H490" s="414"/>
      <c r="I490" s="415"/>
      <c r="J490" s="413"/>
      <c r="K490" s="415"/>
      <c r="L490" s="416"/>
      <c r="M490" s="414"/>
    </row>
    <row r="491" spans="1:13">
      <c r="A491" s="413"/>
      <c r="B491" s="413"/>
      <c r="C491" s="414"/>
      <c r="D491" s="413"/>
      <c r="E491" s="414"/>
      <c r="F491" s="414"/>
      <c r="G491" s="414"/>
      <c r="H491" s="414"/>
      <c r="I491" s="415"/>
      <c r="J491" s="413"/>
      <c r="K491" s="415"/>
      <c r="L491" s="416"/>
      <c r="M491" s="414"/>
    </row>
    <row r="492" spans="1:13">
      <c r="A492" s="413"/>
      <c r="B492" s="413"/>
      <c r="C492" s="414"/>
      <c r="D492" s="413"/>
      <c r="E492" s="414"/>
      <c r="F492" s="414"/>
      <c r="G492" s="414"/>
      <c r="H492" s="414"/>
      <c r="I492" s="415"/>
      <c r="J492" s="413"/>
      <c r="K492" s="415"/>
      <c r="L492" s="416"/>
      <c r="M492" s="414"/>
    </row>
    <row r="493" spans="1:13">
      <c r="A493" s="413"/>
      <c r="B493" s="413"/>
      <c r="C493" s="414"/>
      <c r="D493" s="413"/>
      <c r="E493" s="414"/>
      <c r="F493" s="414"/>
      <c r="G493" s="414"/>
      <c r="H493" s="414"/>
      <c r="I493" s="415"/>
      <c r="J493" s="413"/>
      <c r="K493" s="415"/>
      <c r="L493" s="416"/>
      <c r="M493" s="414"/>
    </row>
    <row r="494" spans="1:13">
      <c r="A494" s="413"/>
      <c r="B494" s="413"/>
      <c r="C494" s="414"/>
      <c r="D494" s="413"/>
      <c r="E494" s="414"/>
      <c r="F494" s="414"/>
      <c r="G494" s="414"/>
      <c r="H494" s="414"/>
      <c r="I494" s="415"/>
      <c r="J494" s="413"/>
      <c r="K494" s="415"/>
      <c r="L494" s="416"/>
      <c r="M494" s="414"/>
    </row>
    <row r="495" spans="1:13">
      <c r="A495" s="413"/>
      <c r="B495" s="413"/>
      <c r="C495" s="414"/>
      <c r="D495" s="413"/>
      <c r="E495" s="414"/>
      <c r="F495" s="414"/>
      <c r="G495" s="414"/>
      <c r="H495" s="414"/>
      <c r="I495" s="415"/>
      <c r="J495" s="413"/>
      <c r="K495" s="415"/>
      <c r="L495" s="416"/>
      <c r="M495" s="414"/>
    </row>
    <row r="496" spans="1:13">
      <c r="A496" s="413"/>
      <c r="B496" s="413"/>
      <c r="C496" s="414"/>
      <c r="D496" s="413"/>
      <c r="E496" s="414"/>
      <c r="F496" s="414"/>
      <c r="G496" s="414"/>
      <c r="H496" s="414"/>
      <c r="I496" s="415"/>
      <c r="J496" s="413"/>
      <c r="K496" s="415"/>
      <c r="L496" s="416"/>
      <c r="M496" s="414"/>
    </row>
    <row r="497" spans="1:13">
      <c r="A497" s="413"/>
      <c r="B497" s="413"/>
      <c r="C497" s="414"/>
      <c r="D497" s="413"/>
      <c r="E497" s="414"/>
      <c r="F497" s="414"/>
      <c r="G497" s="414"/>
      <c r="H497" s="414"/>
      <c r="I497" s="415"/>
      <c r="J497" s="413"/>
      <c r="K497" s="415"/>
      <c r="L497" s="416"/>
      <c r="M497" s="414"/>
    </row>
    <row r="498" spans="1:13">
      <c r="A498" s="413"/>
      <c r="B498" s="413"/>
      <c r="C498" s="414"/>
      <c r="D498" s="413"/>
      <c r="E498" s="414"/>
      <c r="F498" s="414"/>
      <c r="G498" s="414"/>
      <c r="H498" s="414"/>
      <c r="I498" s="415"/>
      <c r="J498" s="413"/>
      <c r="K498" s="415"/>
      <c r="L498" s="416"/>
      <c r="M498" s="414"/>
    </row>
    <row r="499" spans="1:13">
      <c r="A499" s="413"/>
      <c r="B499" s="413"/>
      <c r="C499" s="414"/>
      <c r="D499" s="413"/>
      <c r="E499" s="414"/>
      <c r="F499" s="414"/>
      <c r="G499" s="414"/>
      <c r="H499" s="414"/>
      <c r="I499" s="415"/>
      <c r="J499" s="413"/>
      <c r="K499" s="415"/>
      <c r="L499" s="416"/>
      <c r="M499" s="414"/>
    </row>
    <row r="500" spans="1:13">
      <c r="A500" s="413"/>
      <c r="B500" s="413"/>
      <c r="C500" s="414"/>
      <c r="D500" s="413"/>
      <c r="E500" s="414"/>
      <c r="F500" s="414"/>
      <c r="G500" s="414"/>
      <c r="H500" s="414"/>
      <c r="I500" s="415"/>
      <c r="J500" s="413"/>
      <c r="K500" s="415"/>
      <c r="L500" s="416"/>
      <c r="M500" s="414"/>
    </row>
    <row r="501" spans="1:13">
      <c r="A501" s="413"/>
      <c r="B501" s="413"/>
      <c r="C501" s="414"/>
      <c r="D501" s="413"/>
      <c r="E501" s="414"/>
      <c r="F501" s="414"/>
      <c r="G501" s="414"/>
      <c r="H501" s="414"/>
      <c r="I501" s="415"/>
      <c r="J501" s="413"/>
      <c r="K501" s="415"/>
      <c r="L501" s="416"/>
      <c r="M501" s="414"/>
    </row>
    <row r="502" spans="1:13">
      <c r="A502" s="413"/>
      <c r="B502" s="413"/>
      <c r="C502" s="414"/>
      <c r="D502" s="413"/>
      <c r="E502" s="414"/>
      <c r="F502" s="414"/>
      <c r="G502" s="414"/>
      <c r="H502" s="414"/>
      <c r="I502" s="415"/>
      <c r="J502" s="413"/>
      <c r="K502" s="415"/>
      <c r="L502" s="416"/>
      <c r="M502" s="414"/>
    </row>
    <row r="503" spans="1:13">
      <c r="A503" s="413"/>
      <c r="B503" s="413"/>
      <c r="C503" s="414"/>
      <c r="D503" s="413"/>
      <c r="E503" s="414"/>
      <c r="F503" s="414"/>
      <c r="G503" s="414"/>
      <c r="H503" s="414"/>
      <c r="I503" s="415"/>
      <c r="J503" s="413"/>
      <c r="K503" s="415"/>
      <c r="L503" s="416"/>
      <c r="M503" s="414"/>
    </row>
    <row r="504" spans="1:13">
      <c r="A504" s="413"/>
      <c r="B504" s="413"/>
      <c r="C504" s="414"/>
      <c r="D504" s="413"/>
      <c r="E504" s="414"/>
      <c r="F504" s="414"/>
      <c r="G504" s="414"/>
      <c r="H504" s="414"/>
      <c r="I504" s="415"/>
      <c r="J504" s="413"/>
      <c r="K504" s="415"/>
      <c r="L504" s="416"/>
      <c r="M504" s="414"/>
    </row>
    <row r="505" spans="1:13">
      <c r="A505" s="413"/>
      <c r="B505" s="413"/>
      <c r="C505" s="414"/>
      <c r="D505" s="413"/>
      <c r="E505" s="414"/>
      <c r="F505" s="414"/>
      <c r="G505" s="414"/>
      <c r="H505" s="414"/>
      <c r="I505" s="415"/>
      <c r="J505" s="413"/>
      <c r="K505" s="415"/>
      <c r="L505" s="416"/>
      <c r="M505" s="414"/>
    </row>
    <row r="506" spans="1:13">
      <c r="A506" s="413"/>
      <c r="B506" s="413"/>
      <c r="C506" s="414"/>
      <c r="D506" s="413"/>
      <c r="E506" s="414"/>
      <c r="F506" s="414"/>
      <c r="G506" s="414"/>
      <c r="H506" s="414"/>
      <c r="I506" s="415"/>
      <c r="J506" s="413"/>
      <c r="K506" s="415"/>
      <c r="L506" s="416"/>
      <c r="M506" s="414"/>
    </row>
    <row r="507" spans="1:13">
      <c r="A507" s="413"/>
      <c r="B507" s="413"/>
      <c r="C507" s="414"/>
      <c r="D507" s="413"/>
      <c r="E507" s="414"/>
      <c r="F507" s="414"/>
      <c r="G507" s="414"/>
      <c r="H507" s="414"/>
      <c r="I507" s="415"/>
      <c r="J507" s="413"/>
      <c r="K507" s="415"/>
      <c r="L507" s="416"/>
      <c r="M507" s="414"/>
    </row>
    <row r="508" spans="1:13">
      <c r="A508" s="413"/>
      <c r="B508" s="413"/>
      <c r="C508" s="414"/>
      <c r="D508" s="413"/>
      <c r="E508" s="414"/>
      <c r="F508" s="414"/>
      <c r="G508" s="414"/>
      <c r="H508" s="414"/>
      <c r="I508" s="415"/>
      <c r="J508" s="413"/>
      <c r="K508" s="415"/>
      <c r="L508" s="416"/>
      <c r="M508" s="414"/>
    </row>
    <row r="509" spans="1:13">
      <c r="A509" s="413"/>
      <c r="B509" s="413"/>
      <c r="C509" s="414"/>
      <c r="D509" s="413"/>
      <c r="E509" s="414"/>
      <c r="F509" s="414"/>
      <c r="G509" s="414"/>
      <c r="H509" s="414"/>
      <c r="I509" s="415"/>
      <c r="J509" s="413"/>
      <c r="K509" s="415"/>
      <c r="L509" s="416"/>
      <c r="M509" s="414"/>
    </row>
    <row r="510" spans="1:13">
      <c r="A510" s="413"/>
      <c r="B510" s="413"/>
      <c r="C510" s="414"/>
      <c r="D510" s="413"/>
      <c r="E510" s="414"/>
      <c r="F510" s="414"/>
      <c r="G510" s="414"/>
      <c r="H510" s="414"/>
      <c r="I510" s="415"/>
      <c r="J510" s="413"/>
      <c r="K510" s="415"/>
      <c r="L510" s="416"/>
      <c r="M510" s="414"/>
    </row>
    <row r="511" spans="1:13">
      <c r="A511" s="413"/>
      <c r="B511" s="413"/>
      <c r="C511" s="414"/>
      <c r="D511" s="413"/>
      <c r="E511" s="414"/>
      <c r="F511" s="414"/>
      <c r="G511" s="414"/>
      <c r="H511" s="414"/>
      <c r="I511" s="415"/>
      <c r="J511" s="413"/>
      <c r="K511" s="415"/>
      <c r="L511" s="416"/>
      <c r="M511" s="414"/>
    </row>
    <row r="512" spans="1:13">
      <c r="A512" s="413"/>
      <c r="B512" s="413"/>
      <c r="C512" s="414"/>
      <c r="D512" s="413"/>
      <c r="E512" s="414"/>
      <c r="F512" s="414"/>
      <c r="G512" s="414"/>
      <c r="H512" s="414"/>
      <c r="I512" s="415"/>
      <c r="J512" s="413"/>
      <c r="K512" s="415"/>
      <c r="L512" s="416"/>
      <c r="M512" s="414"/>
    </row>
    <row r="513" spans="1:13">
      <c r="A513" s="413"/>
      <c r="B513" s="413"/>
      <c r="C513" s="414"/>
      <c r="D513" s="413"/>
      <c r="E513" s="414"/>
      <c r="F513" s="414"/>
      <c r="G513" s="414"/>
      <c r="H513" s="414"/>
      <c r="I513" s="415"/>
      <c r="J513" s="413"/>
      <c r="K513" s="415"/>
      <c r="L513" s="416"/>
      <c r="M513" s="414"/>
    </row>
    <row r="514" spans="1:13">
      <c r="A514" s="413"/>
      <c r="B514" s="413"/>
      <c r="C514" s="414"/>
      <c r="D514" s="413"/>
      <c r="E514" s="414"/>
      <c r="F514" s="414"/>
      <c r="G514" s="414"/>
      <c r="H514" s="414"/>
      <c r="I514" s="415"/>
      <c r="J514" s="413"/>
      <c r="K514" s="415"/>
      <c r="L514" s="416"/>
      <c r="M514" s="414"/>
    </row>
    <row r="515" spans="1:13">
      <c r="A515" s="413"/>
      <c r="B515" s="413"/>
      <c r="C515" s="414"/>
      <c r="D515" s="413"/>
      <c r="E515" s="414"/>
      <c r="F515" s="414"/>
      <c r="G515" s="414"/>
      <c r="H515" s="414"/>
      <c r="I515" s="415"/>
      <c r="J515" s="413"/>
      <c r="K515" s="415"/>
      <c r="L515" s="416"/>
      <c r="M515" s="414"/>
    </row>
    <row r="516" spans="1:13">
      <c r="A516" s="413"/>
      <c r="B516" s="413"/>
      <c r="C516" s="414"/>
      <c r="D516" s="413"/>
      <c r="E516" s="414"/>
      <c r="F516" s="414"/>
      <c r="G516" s="414"/>
      <c r="H516" s="414"/>
      <c r="I516" s="415"/>
      <c r="J516" s="413"/>
      <c r="K516" s="415"/>
      <c r="L516" s="416"/>
      <c r="M516" s="414"/>
    </row>
    <row r="517" spans="1:13">
      <c r="A517" s="413"/>
      <c r="B517" s="413"/>
      <c r="C517" s="414"/>
      <c r="D517" s="413"/>
      <c r="E517" s="414"/>
      <c r="F517" s="414"/>
      <c r="G517" s="414"/>
      <c r="H517" s="414"/>
      <c r="I517" s="415"/>
      <c r="J517" s="413"/>
      <c r="K517" s="415"/>
      <c r="L517" s="416"/>
      <c r="M517" s="414"/>
    </row>
    <row r="518" spans="1:13">
      <c r="A518" s="413"/>
      <c r="B518" s="413"/>
      <c r="C518" s="414"/>
      <c r="D518" s="413"/>
      <c r="E518" s="414"/>
      <c r="F518" s="414"/>
      <c r="G518" s="414"/>
      <c r="H518" s="414"/>
      <c r="I518" s="415"/>
      <c r="J518" s="413"/>
      <c r="K518" s="415"/>
      <c r="L518" s="416"/>
      <c r="M518" s="414"/>
    </row>
    <row r="519" spans="1:13">
      <c r="A519" s="413"/>
      <c r="B519" s="413"/>
      <c r="C519" s="414"/>
      <c r="D519" s="413"/>
      <c r="E519" s="414"/>
      <c r="F519" s="414"/>
      <c r="G519" s="414"/>
      <c r="H519" s="414"/>
      <c r="I519" s="415"/>
      <c r="J519" s="413"/>
      <c r="K519" s="415"/>
      <c r="L519" s="416"/>
      <c r="M519" s="414"/>
    </row>
    <row r="520" spans="1:13">
      <c r="A520" s="413"/>
      <c r="B520" s="413"/>
      <c r="C520" s="414"/>
      <c r="D520" s="413"/>
      <c r="E520" s="414"/>
      <c r="F520" s="414"/>
      <c r="G520" s="414"/>
      <c r="H520" s="414"/>
      <c r="I520" s="415"/>
      <c r="J520" s="413"/>
      <c r="K520" s="415"/>
      <c r="L520" s="416"/>
      <c r="M520" s="414"/>
    </row>
    <row r="521" spans="1:13">
      <c r="A521" s="413"/>
      <c r="B521" s="413"/>
      <c r="C521" s="414"/>
      <c r="D521" s="413"/>
      <c r="E521" s="414"/>
      <c r="F521" s="414"/>
      <c r="G521" s="414"/>
      <c r="H521" s="414"/>
      <c r="I521" s="415"/>
      <c r="J521" s="413"/>
      <c r="K521" s="415"/>
      <c r="L521" s="416"/>
      <c r="M521" s="422"/>
    </row>
    <row r="522" spans="1:13">
      <c r="A522" s="413"/>
      <c r="B522" s="413"/>
      <c r="C522" s="414"/>
      <c r="D522" s="413"/>
      <c r="E522" s="414"/>
      <c r="F522" s="414"/>
      <c r="G522" s="414"/>
      <c r="H522" s="414"/>
      <c r="I522" s="415"/>
      <c r="J522" s="413"/>
      <c r="K522" s="415"/>
      <c r="L522" s="416"/>
      <c r="M522" s="422"/>
    </row>
    <row r="523" spans="1:13">
      <c r="A523" s="413"/>
      <c r="B523" s="413"/>
      <c r="C523" s="414"/>
      <c r="D523" s="413"/>
      <c r="E523" s="414"/>
      <c r="F523" s="414"/>
      <c r="G523" s="414"/>
      <c r="H523" s="414"/>
      <c r="I523" s="415"/>
      <c r="J523" s="413"/>
      <c r="K523" s="415"/>
      <c r="L523" s="416"/>
      <c r="M523" s="422"/>
    </row>
    <row r="524" spans="1:13">
      <c r="A524" s="413"/>
      <c r="B524" s="413"/>
      <c r="C524" s="414"/>
      <c r="D524" s="413"/>
      <c r="E524" s="414"/>
      <c r="F524" s="414"/>
      <c r="G524" s="414"/>
      <c r="H524" s="414"/>
      <c r="I524" s="415"/>
      <c r="J524" s="413"/>
      <c r="K524" s="415"/>
      <c r="L524" s="416"/>
      <c r="M524" s="422"/>
    </row>
    <row r="525" spans="1:13">
      <c r="A525" s="413"/>
      <c r="B525" s="413"/>
      <c r="C525" s="414"/>
      <c r="D525" s="413"/>
      <c r="E525" s="414"/>
      <c r="F525" s="414"/>
      <c r="G525" s="414"/>
      <c r="H525" s="414"/>
      <c r="I525" s="415"/>
      <c r="J525" s="413"/>
      <c r="K525" s="415"/>
      <c r="L525" s="416"/>
      <c r="M525" s="422"/>
    </row>
    <row r="526" spans="1:13">
      <c r="A526" s="413"/>
      <c r="B526" s="413"/>
      <c r="C526" s="414"/>
      <c r="D526" s="413"/>
      <c r="E526" s="414"/>
      <c r="F526" s="414"/>
      <c r="G526" s="414"/>
      <c r="H526" s="414"/>
      <c r="I526" s="415"/>
      <c r="J526" s="413"/>
      <c r="K526" s="415"/>
      <c r="L526" s="416"/>
      <c r="M526" s="422"/>
    </row>
    <row r="527" spans="1:13">
      <c r="A527" s="413"/>
      <c r="B527" s="413"/>
      <c r="C527" s="414"/>
      <c r="D527" s="413"/>
      <c r="E527" s="414"/>
      <c r="F527" s="414"/>
      <c r="G527" s="414"/>
      <c r="H527" s="414"/>
      <c r="I527" s="415"/>
      <c r="J527" s="413"/>
      <c r="K527" s="415"/>
      <c r="L527" s="416"/>
      <c r="M527" s="422"/>
    </row>
    <row r="528" spans="1:13">
      <c r="A528" s="413"/>
      <c r="B528" s="413"/>
      <c r="C528" s="414"/>
      <c r="D528" s="413"/>
      <c r="E528" s="414"/>
      <c r="F528" s="414"/>
      <c r="G528" s="414"/>
      <c r="H528" s="414"/>
      <c r="I528" s="415"/>
      <c r="J528" s="413"/>
      <c r="K528" s="415"/>
      <c r="L528" s="416"/>
      <c r="M528" s="422"/>
    </row>
    <row r="529" spans="1:13">
      <c r="A529" s="413"/>
      <c r="B529" s="413"/>
      <c r="C529" s="414"/>
      <c r="D529" s="413"/>
      <c r="E529" s="414"/>
      <c r="F529" s="414"/>
      <c r="G529" s="414"/>
      <c r="H529" s="414"/>
      <c r="I529" s="415"/>
      <c r="J529" s="413"/>
      <c r="K529" s="415"/>
      <c r="L529" s="416"/>
      <c r="M529" s="422"/>
    </row>
    <row r="530" spans="1:13">
      <c r="A530" s="413"/>
      <c r="B530" s="413"/>
      <c r="C530" s="414"/>
      <c r="D530" s="413"/>
      <c r="E530" s="414"/>
      <c r="F530" s="414"/>
      <c r="G530" s="414"/>
      <c r="H530" s="414"/>
      <c r="I530" s="415"/>
      <c r="J530" s="413"/>
      <c r="K530" s="415"/>
      <c r="L530" s="416"/>
      <c r="M530" s="422"/>
    </row>
    <row r="531" spans="1:13">
      <c r="A531" s="413"/>
      <c r="B531" s="413"/>
      <c r="C531" s="414"/>
      <c r="D531" s="413"/>
      <c r="E531" s="414"/>
      <c r="F531" s="414"/>
      <c r="G531" s="414"/>
      <c r="H531" s="414"/>
      <c r="I531" s="415"/>
      <c r="J531" s="413"/>
      <c r="K531" s="415"/>
      <c r="L531" s="416"/>
      <c r="M531" s="422"/>
    </row>
    <row r="532" spans="1:13">
      <c r="A532" s="413"/>
      <c r="B532" s="413"/>
      <c r="C532" s="414"/>
      <c r="D532" s="413"/>
      <c r="E532" s="414"/>
      <c r="F532" s="414"/>
      <c r="G532" s="414"/>
      <c r="H532" s="414"/>
      <c r="I532" s="415"/>
      <c r="J532" s="413"/>
      <c r="K532" s="415"/>
      <c r="L532" s="416"/>
      <c r="M532" s="422"/>
    </row>
    <row r="533" spans="1:13">
      <c r="A533" s="413"/>
      <c r="B533" s="413"/>
      <c r="C533" s="414"/>
      <c r="D533" s="413"/>
      <c r="E533" s="414"/>
      <c r="F533" s="414"/>
      <c r="G533" s="414"/>
      <c r="H533" s="414"/>
      <c r="I533" s="415"/>
      <c r="J533" s="413"/>
      <c r="K533" s="415"/>
      <c r="L533" s="416"/>
      <c r="M533" s="422"/>
    </row>
    <row r="534" spans="1:13">
      <c r="A534" s="413"/>
      <c r="B534" s="413"/>
      <c r="C534" s="414"/>
      <c r="D534" s="413"/>
      <c r="E534" s="414"/>
      <c r="F534" s="414"/>
      <c r="G534" s="414"/>
      <c r="H534" s="414"/>
      <c r="I534" s="415"/>
      <c r="J534" s="413"/>
      <c r="K534" s="415"/>
      <c r="L534" s="416"/>
      <c r="M534" s="422"/>
    </row>
    <row r="535" spans="1:13">
      <c r="A535" s="413"/>
      <c r="B535" s="413"/>
      <c r="C535" s="414"/>
      <c r="D535" s="413"/>
      <c r="E535" s="414"/>
      <c r="F535" s="414"/>
      <c r="G535" s="414"/>
      <c r="H535" s="414"/>
      <c r="I535" s="415"/>
      <c r="J535" s="413"/>
      <c r="K535" s="415"/>
      <c r="L535" s="416"/>
      <c r="M535" s="422"/>
    </row>
    <row r="536" spans="1:13">
      <c r="A536" s="413"/>
      <c r="B536" s="413"/>
      <c r="C536" s="414"/>
      <c r="D536" s="413"/>
      <c r="E536" s="414"/>
      <c r="F536" s="414"/>
      <c r="G536" s="414"/>
      <c r="H536" s="414"/>
      <c r="I536" s="415"/>
      <c r="J536" s="413"/>
      <c r="K536" s="415"/>
      <c r="L536" s="416"/>
      <c r="M536" s="422"/>
    </row>
    <row r="537" spans="1:13">
      <c r="A537" s="413"/>
      <c r="B537" s="413"/>
      <c r="C537" s="414"/>
      <c r="D537" s="413"/>
      <c r="E537" s="414"/>
      <c r="F537" s="414"/>
      <c r="G537" s="414"/>
      <c r="H537" s="414"/>
      <c r="I537" s="415"/>
      <c r="J537" s="413"/>
      <c r="K537" s="415"/>
      <c r="L537" s="416"/>
      <c r="M537" s="422"/>
    </row>
    <row r="538" spans="1:13">
      <c r="A538" s="413"/>
      <c r="B538" s="413"/>
      <c r="C538" s="414"/>
      <c r="D538" s="413"/>
      <c r="E538" s="414"/>
      <c r="F538" s="414"/>
      <c r="G538" s="414"/>
      <c r="H538" s="414"/>
      <c r="I538" s="415"/>
      <c r="J538" s="413"/>
      <c r="K538" s="415"/>
      <c r="L538" s="416"/>
      <c r="M538" s="422"/>
    </row>
    <row r="539" spans="1:13">
      <c r="A539" s="413"/>
      <c r="B539" s="413"/>
      <c r="C539" s="414"/>
      <c r="D539" s="413"/>
      <c r="E539" s="414"/>
      <c r="F539" s="414"/>
      <c r="G539" s="414"/>
      <c r="H539" s="414"/>
      <c r="I539" s="415"/>
      <c r="J539" s="413"/>
      <c r="K539" s="415"/>
      <c r="L539" s="416"/>
      <c r="M539" s="422"/>
    </row>
    <row r="540" spans="1:13">
      <c r="A540" s="413"/>
      <c r="B540" s="413"/>
      <c r="C540" s="414"/>
      <c r="D540" s="413"/>
      <c r="E540" s="414"/>
      <c r="F540" s="414"/>
      <c r="G540" s="414"/>
      <c r="H540" s="414"/>
      <c r="I540" s="415"/>
      <c r="J540" s="413"/>
      <c r="K540" s="415"/>
      <c r="L540" s="416"/>
      <c r="M540" s="422"/>
    </row>
    <row r="541" spans="1:13">
      <c r="A541" s="413"/>
      <c r="B541" s="413"/>
      <c r="C541" s="414"/>
      <c r="D541" s="413"/>
      <c r="E541" s="414"/>
      <c r="F541" s="414"/>
      <c r="G541" s="414"/>
      <c r="H541" s="414"/>
      <c r="I541" s="415"/>
      <c r="J541" s="413"/>
      <c r="K541" s="415"/>
      <c r="L541" s="416"/>
      <c r="M541" s="422"/>
    </row>
    <row r="542" spans="1:13">
      <c r="A542" s="413"/>
      <c r="B542" s="413"/>
      <c r="C542" s="414"/>
      <c r="D542" s="413"/>
      <c r="E542" s="414"/>
      <c r="F542" s="414"/>
      <c r="G542" s="414"/>
      <c r="H542" s="414"/>
      <c r="I542" s="415"/>
      <c r="J542" s="413"/>
      <c r="K542" s="415"/>
      <c r="L542" s="416"/>
      <c r="M542" s="422"/>
    </row>
    <row r="543" spans="1:13">
      <c r="A543" s="413"/>
      <c r="B543" s="413"/>
      <c r="C543" s="414"/>
      <c r="D543" s="413"/>
      <c r="E543" s="414"/>
      <c r="F543" s="414"/>
      <c r="G543" s="414"/>
      <c r="H543" s="414"/>
      <c r="I543" s="415"/>
      <c r="J543" s="413"/>
      <c r="K543" s="423"/>
      <c r="L543" s="423"/>
      <c r="M543" s="414"/>
    </row>
    <row r="544" spans="1:13">
      <c r="A544" s="413"/>
      <c r="B544" s="413"/>
      <c r="C544" s="414"/>
      <c r="D544" s="413"/>
      <c r="E544" s="414"/>
      <c r="F544" s="414"/>
      <c r="G544" s="414"/>
      <c r="H544" s="414"/>
      <c r="I544" s="415"/>
      <c r="J544" s="413"/>
      <c r="K544" s="414"/>
      <c r="L544" s="414"/>
      <c r="M544" s="414"/>
    </row>
    <row r="545" spans="1:13">
      <c r="A545" s="413"/>
      <c r="B545" s="413"/>
      <c r="C545" s="414"/>
      <c r="D545" s="413"/>
      <c r="E545" s="414"/>
      <c r="F545" s="414"/>
      <c r="G545" s="414"/>
      <c r="H545" s="414"/>
      <c r="I545" s="415"/>
      <c r="J545" s="413"/>
      <c r="K545" s="414"/>
      <c r="L545" s="414"/>
      <c r="M545" s="414"/>
    </row>
    <row r="546" spans="1:13">
      <c r="A546" s="413"/>
      <c r="B546" s="413"/>
      <c r="C546" s="414"/>
      <c r="D546" s="413"/>
      <c r="E546" s="414"/>
      <c r="F546" s="414"/>
      <c r="G546" s="414"/>
      <c r="H546" s="414"/>
      <c r="I546" s="415"/>
      <c r="J546" s="413"/>
      <c r="K546" s="414"/>
      <c r="L546" s="414"/>
      <c r="M546" s="414"/>
    </row>
    <row r="547" spans="1:13">
      <c r="A547" s="413"/>
      <c r="B547" s="413"/>
      <c r="C547" s="414"/>
      <c r="D547" s="413"/>
      <c r="E547" s="414"/>
      <c r="F547" s="414"/>
      <c r="G547" s="414"/>
      <c r="H547" s="414"/>
      <c r="I547" s="415"/>
      <c r="J547" s="413"/>
      <c r="K547" s="414"/>
      <c r="L547" s="414"/>
      <c r="M547" s="414"/>
    </row>
    <row r="548" spans="1:13">
      <c r="A548" s="413"/>
      <c r="B548" s="413"/>
      <c r="C548" s="414"/>
      <c r="D548" s="413"/>
      <c r="E548" s="414"/>
      <c r="F548" s="414"/>
      <c r="G548" s="414"/>
      <c r="H548" s="414"/>
      <c r="I548" s="415"/>
      <c r="J548" s="413"/>
      <c r="K548" s="414"/>
      <c r="L548" s="414"/>
      <c r="M548" s="414"/>
    </row>
    <row r="549" spans="1:13">
      <c r="A549" s="413"/>
      <c r="B549" s="413"/>
      <c r="C549" s="414"/>
      <c r="D549" s="413"/>
      <c r="E549" s="414"/>
      <c r="F549" s="414"/>
      <c r="G549" s="414"/>
      <c r="H549" s="414"/>
      <c r="I549" s="415"/>
      <c r="J549" s="413"/>
      <c r="K549" s="414"/>
      <c r="L549" s="414"/>
      <c r="M549" s="414"/>
    </row>
    <row r="550" spans="1:13">
      <c r="A550" s="413"/>
      <c r="B550" s="413"/>
      <c r="C550" s="414"/>
      <c r="D550" s="413"/>
      <c r="E550" s="414"/>
      <c r="F550" s="414"/>
      <c r="G550" s="414"/>
      <c r="H550" s="414"/>
      <c r="I550" s="415"/>
      <c r="J550" s="413"/>
      <c r="K550" s="414"/>
      <c r="L550" s="414"/>
      <c r="M550" s="414"/>
    </row>
    <row r="551" spans="1:13">
      <c r="A551" s="413"/>
      <c r="B551" s="413"/>
      <c r="C551" s="414"/>
      <c r="D551" s="413"/>
      <c r="E551" s="414"/>
      <c r="F551" s="414"/>
      <c r="G551" s="414"/>
      <c r="H551" s="414"/>
      <c r="I551" s="415"/>
      <c r="J551" s="413"/>
      <c r="K551" s="414"/>
      <c r="L551" s="414"/>
      <c r="M551" s="414"/>
    </row>
    <row r="552" spans="1:13">
      <c r="A552" s="413"/>
      <c r="B552" s="413"/>
      <c r="C552" s="414"/>
      <c r="D552" s="413"/>
      <c r="E552" s="414"/>
      <c r="F552" s="414"/>
      <c r="G552" s="414"/>
      <c r="H552" s="414"/>
      <c r="I552" s="415"/>
      <c r="J552" s="413"/>
      <c r="K552" s="414"/>
      <c r="L552" s="414"/>
      <c r="M552" s="414"/>
    </row>
    <row r="553" spans="1:13">
      <c r="A553" s="420"/>
      <c r="B553" s="420"/>
      <c r="C553" s="420"/>
      <c r="D553" s="420"/>
      <c r="E553" s="420"/>
      <c r="F553" s="420"/>
      <c r="G553" s="420"/>
      <c r="H553" s="420"/>
      <c r="I553" s="420"/>
      <c r="J553" s="420"/>
      <c r="K553" s="415"/>
      <c r="L553" s="416"/>
      <c r="M553" s="420"/>
    </row>
    <row r="554" spans="1:13">
      <c r="A554" s="420"/>
      <c r="B554" s="420"/>
      <c r="C554" s="420"/>
      <c r="D554" s="420"/>
      <c r="E554" s="420"/>
      <c r="F554" s="420"/>
      <c r="G554" s="420"/>
      <c r="H554" s="420"/>
      <c r="I554" s="420"/>
      <c r="J554" s="420"/>
      <c r="K554" s="415"/>
      <c r="L554" s="416"/>
      <c r="M554" s="420"/>
    </row>
    <row r="555" spans="1:13">
      <c r="A555" s="420"/>
      <c r="B555" s="420"/>
      <c r="C555" s="420"/>
      <c r="D555" s="420"/>
      <c r="E555" s="420"/>
      <c r="F555" s="420"/>
      <c r="G555" s="420"/>
      <c r="H555" s="420"/>
      <c r="I555" s="420"/>
      <c r="J555" s="420"/>
      <c r="K555" s="415"/>
      <c r="L555" s="416"/>
      <c r="M555" s="420"/>
    </row>
    <row r="556" spans="1:13">
      <c r="A556" s="420"/>
      <c r="B556" s="420"/>
      <c r="C556" s="420"/>
      <c r="D556" s="420"/>
      <c r="E556" s="420"/>
      <c r="F556" s="420"/>
      <c r="G556" s="420"/>
      <c r="H556" s="420"/>
      <c r="I556" s="420"/>
      <c r="J556" s="420"/>
      <c r="K556" s="415"/>
      <c r="L556" s="416"/>
      <c r="M556" s="420"/>
    </row>
    <row r="557" spans="1:13">
      <c r="A557" s="420"/>
      <c r="B557" s="420"/>
      <c r="C557" s="420"/>
      <c r="D557" s="420"/>
      <c r="E557" s="420"/>
      <c r="F557" s="420"/>
      <c r="G557" s="420"/>
      <c r="H557" s="420"/>
      <c r="I557" s="420"/>
      <c r="J557" s="420"/>
      <c r="K557" s="415"/>
      <c r="L557" s="416"/>
      <c r="M557" s="420"/>
    </row>
    <row r="558" spans="1:13">
      <c r="A558" s="420"/>
      <c r="B558" s="420"/>
      <c r="C558" s="420"/>
      <c r="D558" s="420"/>
      <c r="E558" s="420"/>
      <c r="F558" s="420"/>
      <c r="G558" s="420"/>
      <c r="H558" s="420"/>
      <c r="I558" s="420"/>
      <c r="J558" s="420"/>
      <c r="K558" s="415"/>
      <c r="L558" s="416"/>
      <c r="M558" s="420"/>
    </row>
    <row r="559" spans="1:13">
      <c r="A559" s="420"/>
      <c r="B559" s="420"/>
      <c r="C559" s="420"/>
      <c r="D559" s="420"/>
      <c r="E559" s="420"/>
      <c r="F559" s="420"/>
      <c r="G559" s="420"/>
      <c r="H559" s="420"/>
      <c r="I559" s="420"/>
      <c r="J559" s="420"/>
      <c r="K559" s="415"/>
      <c r="L559" s="416"/>
      <c r="M559" s="420"/>
    </row>
    <row r="560" spans="1:13">
      <c r="A560" s="420"/>
      <c r="B560" s="420"/>
      <c r="C560" s="420"/>
      <c r="D560" s="420"/>
      <c r="E560" s="420"/>
      <c r="F560" s="420"/>
      <c r="G560" s="420"/>
      <c r="H560" s="420"/>
      <c r="I560" s="420"/>
      <c r="J560" s="420"/>
      <c r="K560" s="415"/>
      <c r="L560" s="416"/>
      <c r="M560" s="420"/>
    </row>
    <row r="561" spans="1:13">
      <c r="A561" s="420"/>
      <c r="B561" s="420"/>
      <c r="C561" s="420"/>
      <c r="D561" s="420"/>
      <c r="E561" s="420"/>
      <c r="F561" s="420"/>
      <c r="G561" s="420"/>
      <c r="H561" s="420"/>
      <c r="I561" s="420"/>
      <c r="J561" s="420"/>
      <c r="K561" s="415"/>
      <c r="L561" s="416"/>
      <c r="M561" s="420"/>
    </row>
    <row r="562" spans="1:13">
      <c r="A562" s="420"/>
      <c r="B562" s="420"/>
      <c r="C562" s="420"/>
      <c r="D562" s="420"/>
      <c r="E562" s="420"/>
      <c r="F562" s="420"/>
      <c r="G562" s="420"/>
      <c r="H562" s="420"/>
      <c r="I562" s="420"/>
      <c r="J562" s="420"/>
      <c r="K562" s="415"/>
      <c r="L562" s="416"/>
      <c r="M562" s="420"/>
    </row>
    <row r="563" spans="1:13">
      <c r="A563" s="420"/>
      <c r="B563" s="420"/>
      <c r="C563" s="420"/>
      <c r="D563" s="420"/>
      <c r="E563" s="420"/>
      <c r="F563" s="420"/>
      <c r="G563" s="420"/>
      <c r="H563" s="420"/>
      <c r="I563" s="420"/>
      <c r="J563" s="420"/>
      <c r="K563" s="415"/>
      <c r="L563" s="416"/>
      <c r="M563" s="420"/>
    </row>
    <row r="564" spans="1:13">
      <c r="A564" s="420"/>
      <c r="B564" s="420"/>
      <c r="C564" s="420"/>
      <c r="D564" s="420"/>
      <c r="E564" s="420"/>
      <c r="F564" s="420"/>
      <c r="G564" s="420"/>
      <c r="H564" s="420"/>
      <c r="I564" s="420"/>
      <c r="J564" s="420"/>
      <c r="K564" s="415"/>
      <c r="L564" s="416"/>
      <c r="M564" s="420"/>
    </row>
    <row r="565" spans="1:13">
      <c r="A565" s="420"/>
      <c r="B565" s="420"/>
      <c r="C565" s="420"/>
      <c r="D565" s="420"/>
      <c r="E565" s="420"/>
      <c r="F565" s="420"/>
      <c r="G565" s="420"/>
      <c r="H565" s="420"/>
      <c r="I565" s="420"/>
      <c r="J565" s="420"/>
      <c r="K565" s="415"/>
      <c r="L565" s="416"/>
      <c r="M565" s="420"/>
    </row>
    <row r="566" spans="1:13">
      <c r="A566" s="420"/>
      <c r="B566" s="420"/>
      <c r="C566" s="420"/>
      <c r="D566" s="420"/>
      <c r="E566" s="420"/>
      <c r="F566" s="420"/>
      <c r="G566" s="420"/>
      <c r="H566" s="420"/>
      <c r="I566" s="420"/>
      <c r="J566" s="420"/>
      <c r="K566" s="415"/>
      <c r="L566" s="416"/>
      <c r="M566" s="420"/>
    </row>
    <row r="567" spans="1:13">
      <c r="A567" s="420"/>
      <c r="B567" s="420"/>
      <c r="C567" s="420"/>
      <c r="D567" s="420"/>
      <c r="E567" s="420"/>
      <c r="F567" s="420"/>
      <c r="G567" s="420"/>
      <c r="H567" s="420"/>
      <c r="I567" s="420"/>
      <c r="J567" s="420"/>
      <c r="K567" s="415"/>
      <c r="L567" s="416"/>
      <c r="M567" s="420"/>
    </row>
    <row r="568" spans="1:13">
      <c r="A568" s="420"/>
      <c r="B568" s="420"/>
      <c r="C568" s="420"/>
      <c r="D568" s="420"/>
      <c r="E568" s="420"/>
      <c r="F568" s="420"/>
      <c r="G568" s="420"/>
      <c r="H568" s="420"/>
      <c r="I568" s="420"/>
      <c r="J568" s="420"/>
      <c r="K568" s="415"/>
      <c r="L568" s="416"/>
      <c r="M568" s="420"/>
    </row>
    <row r="569" spans="1:13">
      <c r="A569" s="420"/>
      <c r="B569" s="420"/>
      <c r="C569" s="420"/>
      <c r="D569" s="420"/>
      <c r="E569" s="420"/>
      <c r="F569" s="420"/>
      <c r="G569" s="420"/>
      <c r="H569" s="420"/>
      <c r="I569" s="420"/>
      <c r="J569" s="420"/>
      <c r="K569" s="415"/>
      <c r="L569" s="416"/>
      <c r="M569" s="420"/>
    </row>
    <row r="570" spans="1:13">
      <c r="A570" s="420"/>
      <c r="B570" s="420"/>
      <c r="C570" s="420"/>
      <c r="D570" s="420"/>
      <c r="E570" s="420"/>
      <c r="F570" s="420"/>
      <c r="G570" s="420"/>
      <c r="H570" s="420"/>
      <c r="I570" s="420"/>
      <c r="J570" s="420"/>
      <c r="K570" s="415"/>
      <c r="L570" s="416"/>
      <c r="M570" s="420"/>
    </row>
    <row r="571" spans="1:13">
      <c r="A571" s="420"/>
      <c r="B571" s="420"/>
      <c r="C571" s="420"/>
      <c r="D571" s="420"/>
      <c r="E571" s="420"/>
      <c r="F571" s="420"/>
      <c r="G571" s="420"/>
      <c r="H571" s="420"/>
      <c r="I571" s="420"/>
      <c r="J571" s="420"/>
      <c r="K571" s="415"/>
      <c r="L571" s="416"/>
      <c r="M571" s="420"/>
    </row>
    <row r="572" spans="1:13">
      <c r="A572" s="420"/>
      <c r="B572" s="420"/>
      <c r="C572" s="420"/>
      <c r="D572" s="420"/>
      <c r="E572" s="420"/>
      <c r="F572" s="420"/>
      <c r="G572" s="420"/>
      <c r="H572" s="420"/>
      <c r="I572" s="420"/>
      <c r="J572" s="420"/>
      <c r="K572" s="415"/>
      <c r="L572" s="416"/>
      <c r="M572" s="420"/>
    </row>
    <row r="573" spans="1:13">
      <c r="A573" s="420"/>
      <c r="B573" s="420"/>
      <c r="C573" s="420"/>
      <c r="D573" s="420"/>
      <c r="E573" s="420"/>
      <c r="F573" s="420"/>
      <c r="G573" s="420"/>
      <c r="H573" s="420"/>
      <c r="I573" s="420"/>
      <c r="J573" s="420"/>
      <c r="K573" s="415"/>
      <c r="L573" s="416"/>
      <c r="M573" s="420"/>
    </row>
    <row r="574" spans="1:13">
      <c r="A574" s="420"/>
      <c r="B574" s="420"/>
      <c r="C574" s="420"/>
      <c r="D574" s="420"/>
      <c r="E574" s="420"/>
      <c r="F574" s="420"/>
      <c r="G574" s="420"/>
      <c r="H574" s="420"/>
      <c r="I574" s="420"/>
      <c r="J574" s="420"/>
      <c r="K574" s="415"/>
      <c r="L574" s="416"/>
      <c r="M574" s="420"/>
    </row>
    <row r="575" spans="1:13">
      <c r="A575" s="420"/>
      <c r="B575" s="420"/>
      <c r="C575" s="420"/>
      <c r="D575" s="420"/>
      <c r="E575" s="420"/>
      <c r="F575" s="420"/>
      <c r="G575" s="420"/>
      <c r="H575" s="420"/>
      <c r="I575" s="420"/>
      <c r="J575" s="420"/>
      <c r="K575" s="415"/>
      <c r="L575" s="416"/>
      <c r="M575" s="420"/>
    </row>
    <row r="576" spans="1:13">
      <c r="A576" s="420"/>
      <c r="B576" s="420"/>
      <c r="C576" s="420"/>
      <c r="D576" s="420"/>
      <c r="E576" s="420"/>
      <c r="F576" s="420"/>
      <c r="G576" s="420"/>
      <c r="H576" s="420"/>
      <c r="I576" s="420"/>
      <c r="J576" s="420"/>
      <c r="K576" s="415"/>
      <c r="L576" s="416"/>
      <c r="M576" s="420"/>
    </row>
    <row r="577" spans="1:13">
      <c r="A577" s="420"/>
      <c r="B577" s="420"/>
      <c r="C577" s="420"/>
      <c r="D577" s="420"/>
      <c r="E577" s="420"/>
      <c r="F577" s="420"/>
      <c r="G577" s="420"/>
      <c r="H577" s="420"/>
      <c r="I577" s="420"/>
      <c r="J577" s="420"/>
      <c r="K577" s="415"/>
      <c r="L577" s="416"/>
      <c r="M577" s="420"/>
    </row>
    <row r="578" spans="1:13">
      <c r="A578" s="420"/>
      <c r="B578" s="420"/>
      <c r="C578" s="420"/>
      <c r="D578" s="420"/>
      <c r="E578" s="420"/>
      <c r="F578" s="420"/>
      <c r="G578" s="420"/>
      <c r="H578" s="420"/>
      <c r="I578" s="420"/>
      <c r="J578" s="420"/>
      <c r="K578" s="415"/>
      <c r="L578" s="416"/>
      <c r="M578" s="420"/>
    </row>
    <row r="579" spans="1:13">
      <c r="A579" s="420"/>
      <c r="B579" s="420"/>
      <c r="C579" s="420"/>
      <c r="D579" s="420"/>
      <c r="E579" s="420"/>
      <c r="F579" s="420"/>
      <c r="G579" s="420"/>
      <c r="H579" s="420"/>
      <c r="I579" s="420"/>
      <c r="J579" s="420"/>
      <c r="K579" s="415"/>
      <c r="L579" s="416"/>
      <c r="M579" s="420"/>
    </row>
    <row r="580" spans="1:13">
      <c r="A580" s="420"/>
      <c r="B580" s="420"/>
      <c r="C580" s="420"/>
      <c r="D580" s="420"/>
      <c r="E580" s="420"/>
      <c r="F580" s="420"/>
      <c r="G580" s="420"/>
      <c r="H580" s="420"/>
      <c r="I580" s="420"/>
      <c r="J580" s="420"/>
      <c r="K580" s="415"/>
      <c r="L580" s="416"/>
      <c r="M580" s="420"/>
    </row>
    <row r="581" spans="1:13">
      <c r="A581" s="420"/>
      <c r="B581" s="420"/>
      <c r="C581" s="420"/>
      <c r="D581" s="420"/>
      <c r="E581" s="420"/>
      <c r="F581" s="420"/>
      <c r="G581" s="420"/>
      <c r="H581" s="420"/>
      <c r="I581" s="420"/>
      <c r="J581" s="420"/>
      <c r="K581" s="415"/>
      <c r="L581" s="416"/>
      <c r="M581" s="420"/>
    </row>
    <row r="582" spans="1:13">
      <c r="A582" s="420"/>
      <c r="B582" s="420"/>
      <c r="C582" s="420"/>
      <c r="D582" s="420"/>
      <c r="E582" s="420"/>
      <c r="F582" s="420"/>
      <c r="G582" s="420"/>
      <c r="H582" s="420"/>
      <c r="I582" s="420"/>
      <c r="J582" s="420"/>
      <c r="K582" s="415"/>
      <c r="L582" s="416"/>
      <c r="M582" s="420"/>
    </row>
    <row r="583" spans="1:13">
      <c r="A583" s="420"/>
      <c r="B583" s="420"/>
      <c r="C583" s="420"/>
      <c r="D583" s="420"/>
      <c r="E583" s="420"/>
      <c r="F583" s="420"/>
      <c r="G583" s="420"/>
      <c r="H583" s="420"/>
      <c r="I583" s="420"/>
      <c r="J583" s="420"/>
      <c r="K583" s="415"/>
      <c r="L583" s="416"/>
      <c r="M583" s="420"/>
    </row>
    <row r="584" spans="1:13">
      <c r="A584" s="420"/>
      <c r="B584" s="420"/>
      <c r="C584" s="420"/>
      <c r="D584" s="420"/>
      <c r="E584" s="420"/>
      <c r="F584" s="420"/>
      <c r="G584" s="420"/>
      <c r="H584" s="420"/>
      <c r="I584" s="420"/>
      <c r="J584" s="420"/>
      <c r="K584" s="415"/>
      <c r="L584" s="416"/>
      <c r="M584" s="420"/>
    </row>
    <row r="585" spans="1:13">
      <c r="A585" s="420"/>
      <c r="B585" s="420"/>
      <c r="C585" s="420"/>
      <c r="D585" s="420"/>
      <c r="E585" s="420"/>
      <c r="F585" s="420"/>
      <c r="G585" s="420"/>
      <c r="H585" s="420"/>
      <c r="I585" s="420"/>
      <c r="J585" s="420"/>
      <c r="K585" s="415"/>
      <c r="L585" s="416"/>
      <c r="M585" s="420"/>
    </row>
    <row r="586" spans="1:13">
      <c r="A586" s="420"/>
      <c r="B586" s="420"/>
      <c r="C586" s="420"/>
      <c r="D586" s="420"/>
      <c r="E586" s="420"/>
      <c r="F586" s="420"/>
      <c r="G586" s="420"/>
      <c r="H586" s="420"/>
      <c r="I586" s="420"/>
      <c r="J586" s="420"/>
      <c r="K586" s="415"/>
      <c r="L586" s="416"/>
      <c r="M586" s="420"/>
    </row>
    <row r="587" spans="1:13">
      <c r="A587" s="420"/>
      <c r="B587" s="420"/>
      <c r="C587" s="420"/>
      <c r="D587" s="420"/>
      <c r="E587" s="420"/>
      <c r="F587" s="420"/>
      <c r="G587" s="420"/>
      <c r="H587" s="420"/>
      <c r="I587" s="420"/>
      <c r="J587" s="420"/>
      <c r="K587" s="415"/>
      <c r="L587" s="416"/>
      <c r="M587" s="420"/>
    </row>
    <row r="588" spans="1:13">
      <c r="A588" s="420"/>
      <c r="B588" s="420"/>
      <c r="C588" s="420"/>
      <c r="D588" s="420"/>
      <c r="E588" s="420"/>
      <c r="F588" s="420"/>
      <c r="G588" s="420"/>
      <c r="H588" s="420"/>
      <c r="I588" s="420"/>
      <c r="J588" s="420"/>
      <c r="K588" s="415"/>
      <c r="L588" s="416"/>
      <c r="M588" s="420"/>
    </row>
    <row r="589" spans="1:13">
      <c r="A589" s="420"/>
      <c r="B589" s="420"/>
      <c r="C589" s="420"/>
      <c r="D589" s="420"/>
      <c r="E589" s="420"/>
      <c r="F589" s="420"/>
      <c r="G589" s="420"/>
      <c r="H589" s="420"/>
      <c r="I589" s="420"/>
      <c r="J589" s="420"/>
      <c r="K589" s="415"/>
      <c r="L589" s="416"/>
      <c r="M589" s="420"/>
    </row>
    <row r="590" spans="1:13">
      <c r="A590" s="420"/>
      <c r="B590" s="420"/>
      <c r="C590" s="420"/>
      <c r="D590" s="420"/>
      <c r="E590" s="420"/>
      <c r="F590" s="420"/>
      <c r="G590" s="420"/>
      <c r="H590" s="420"/>
      <c r="I590" s="420"/>
      <c r="J590" s="420"/>
      <c r="K590" s="415"/>
      <c r="L590" s="416"/>
      <c r="M590" s="420"/>
    </row>
    <row r="591" spans="1:13">
      <c r="A591" s="420"/>
      <c r="B591" s="420"/>
      <c r="C591" s="420"/>
      <c r="D591" s="420"/>
      <c r="E591" s="420"/>
      <c r="F591" s="420"/>
      <c r="G591" s="420"/>
      <c r="H591" s="420"/>
      <c r="I591" s="420"/>
      <c r="J591" s="420"/>
      <c r="K591" s="415"/>
      <c r="L591" s="416"/>
      <c r="M591" s="420"/>
    </row>
    <row r="592" spans="1:13">
      <c r="A592" s="420"/>
      <c r="B592" s="420"/>
      <c r="C592" s="420"/>
      <c r="D592" s="420"/>
      <c r="E592" s="420"/>
      <c r="F592" s="420"/>
      <c r="G592" s="420"/>
      <c r="H592" s="420"/>
      <c r="I592" s="420"/>
      <c r="J592" s="420"/>
      <c r="K592" s="415"/>
      <c r="L592" s="416"/>
      <c r="M592" s="420"/>
    </row>
    <row r="593" spans="1:13">
      <c r="A593" s="420"/>
      <c r="B593" s="420"/>
      <c r="C593" s="420"/>
      <c r="D593" s="420"/>
      <c r="E593" s="420"/>
      <c r="F593" s="420"/>
      <c r="G593" s="420"/>
      <c r="H593" s="420"/>
      <c r="I593" s="420"/>
      <c r="J593" s="420"/>
      <c r="K593" s="415"/>
      <c r="L593" s="416"/>
      <c r="M593" s="420"/>
    </row>
    <row r="594" spans="1:13">
      <c r="A594" s="420"/>
      <c r="B594" s="420"/>
      <c r="C594" s="420"/>
      <c r="D594" s="420"/>
      <c r="E594" s="420"/>
      <c r="F594" s="420"/>
      <c r="G594" s="420"/>
      <c r="H594" s="420"/>
      <c r="I594" s="420"/>
      <c r="J594" s="420"/>
      <c r="K594" s="415"/>
      <c r="L594" s="416"/>
      <c r="M594" s="420"/>
    </row>
    <row r="595" spans="1:13">
      <c r="A595" s="420"/>
      <c r="B595" s="420"/>
      <c r="C595" s="420"/>
      <c r="D595" s="420"/>
      <c r="E595" s="420"/>
      <c r="F595" s="420"/>
      <c r="G595" s="420"/>
      <c r="H595" s="420"/>
      <c r="I595" s="420"/>
      <c r="J595" s="420"/>
      <c r="K595" s="415"/>
      <c r="L595" s="416"/>
      <c r="M595" s="420"/>
    </row>
    <row r="596" spans="1:13">
      <c r="A596" s="420"/>
      <c r="B596" s="420"/>
      <c r="C596" s="420"/>
      <c r="D596" s="420"/>
      <c r="E596" s="420"/>
      <c r="F596" s="420"/>
      <c r="G596" s="420"/>
      <c r="H596" s="420"/>
      <c r="I596" s="420"/>
      <c r="J596" s="420"/>
      <c r="K596" s="415"/>
      <c r="L596" s="416"/>
      <c r="M596" s="420"/>
    </row>
    <row r="597" spans="1:13">
      <c r="A597" s="420"/>
      <c r="B597" s="420"/>
      <c r="C597" s="420"/>
      <c r="D597" s="420"/>
      <c r="E597" s="420"/>
      <c r="F597" s="420"/>
      <c r="G597" s="420"/>
      <c r="H597" s="420"/>
      <c r="I597" s="420"/>
      <c r="J597" s="420"/>
      <c r="K597" s="415"/>
      <c r="L597" s="416"/>
      <c r="M597" s="420"/>
    </row>
    <row r="598" spans="1:13">
      <c r="A598" s="420"/>
      <c r="B598" s="420"/>
      <c r="C598" s="420"/>
      <c r="D598" s="420"/>
      <c r="E598" s="420"/>
      <c r="F598" s="420"/>
      <c r="G598" s="420"/>
      <c r="H598" s="420"/>
      <c r="I598" s="420"/>
      <c r="J598" s="420"/>
      <c r="K598" s="415"/>
      <c r="L598" s="416"/>
      <c r="M598" s="420"/>
    </row>
    <row r="599" spans="1:13">
      <c r="A599" s="420"/>
      <c r="B599" s="420"/>
      <c r="C599" s="420"/>
      <c r="D599" s="420"/>
      <c r="E599" s="420"/>
      <c r="F599" s="420"/>
      <c r="G599" s="420"/>
      <c r="H599" s="420"/>
      <c r="I599" s="420"/>
      <c r="J599" s="420"/>
      <c r="K599" s="415"/>
      <c r="L599" s="416"/>
      <c r="M599" s="420"/>
    </row>
    <row r="600" spans="1:13">
      <c r="A600" s="420"/>
      <c r="B600" s="420"/>
      <c r="C600" s="420"/>
      <c r="D600" s="420"/>
      <c r="E600" s="420"/>
      <c r="F600" s="420"/>
      <c r="G600" s="420"/>
      <c r="H600" s="420"/>
      <c r="I600" s="420"/>
      <c r="J600" s="420"/>
      <c r="K600" s="415"/>
      <c r="L600" s="416"/>
      <c r="M600" s="420"/>
    </row>
    <row r="601" spans="1:13">
      <c r="A601" s="420"/>
      <c r="B601" s="420"/>
      <c r="C601" s="420"/>
      <c r="D601" s="420"/>
      <c r="E601" s="420"/>
      <c r="F601" s="420"/>
      <c r="G601" s="420"/>
      <c r="H601" s="420"/>
      <c r="I601" s="420"/>
      <c r="J601" s="420"/>
      <c r="K601" s="415"/>
      <c r="L601" s="416"/>
      <c r="M601" s="420"/>
    </row>
    <row r="602" spans="1:13">
      <c r="A602" s="420"/>
      <c r="B602" s="420"/>
      <c r="C602" s="420"/>
      <c r="D602" s="420"/>
      <c r="E602" s="420"/>
      <c r="F602" s="420"/>
      <c r="G602" s="420"/>
      <c r="H602" s="420"/>
      <c r="I602" s="420"/>
      <c r="J602" s="420"/>
      <c r="K602" s="415"/>
      <c r="L602" s="416"/>
      <c r="M602" s="420"/>
    </row>
    <row r="603" spans="1:13">
      <c r="A603" s="420"/>
      <c r="B603" s="420"/>
      <c r="C603" s="420"/>
      <c r="D603" s="420"/>
      <c r="E603" s="420"/>
      <c r="F603" s="420"/>
      <c r="G603" s="420"/>
      <c r="H603" s="420"/>
      <c r="I603" s="420"/>
      <c r="J603" s="420"/>
      <c r="K603" s="415"/>
      <c r="L603" s="416"/>
      <c r="M603" s="420"/>
    </row>
    <row r="604" spans="1:13">
      <c r="A604" s="420"/>
      <c r="B604" s="420"/>
      <c r="C604" s="420"/>
      <c r="D604" s="420"/>
      <c r="E604" s="420"/>
      <c r="F604" s="420"/>
      <c r="G604" s="420"/>
      <c r="H604" s="420"/>
      <c r="I604" s="420"/>
      <c r="J604" s="420"/>
      <c r="K604" s="415"/>
      <c r="L604" s="416"/>
      <c r="M604" s="420"/>
    </row>
    <row r="605" spans="1:13">
      <c r="A605" s="420"/>
      <c r="B605" s="420"/>
      <c r="C605" s="420"/>
      <c r="D605" s="420"/>
      <c r="E605" s="420"/>
      <c r="F605" s="420"/>
      <c r="G605" s="420"/>
      <c r="H605" s="420"/>
      <c r="I605" s="420"/>
      <c r="J605" s="420"/>
      <c r="K605" s="415"/>
      <c r="L605" s="416"/>
      <c r="M605" s="420"/>
    </row>
    <row r="606" spans="1:13">
      <c r="A606" s="420"/>
      <c r="B606" s="420"/>
      <c r="C606" s="420"/>
      <c r="D606" s="420"/>
      <c r="E606" s="420"/>
      <c r="F606" s="420"/>
      <c r="G606" s="420"/>
      <c r="H606" s="420"/>
      <c r="I606" s="420"/>
      <c r="J606" s="420"/>
      <c r="K606" s="415"/>
      <c r="L606" s="416"/>
      <c r="M606" s="420"/>
    </row>
    <row r="607" spans="1:13">
      <c r="A607" s="420"/>
      <c r="B607" s="420"/>
      <c r="C607" s="420"/>
      <c r="D607" s="420"/>
      <c r="E607" s="420"/>
      <c r="F607" s="420"/>
      <c r="G607" s="420"/>
      <c r="H607" s="420"/>
      <c r="I607" s="420"/>
      <c r="J607" s="420"/>
      <c r="K607" s="415"/>
      <c r="L607" s="416"/>
      <c r="M607" s="420"/>
    </row>
    <row r="608" spans="1:13">
      <c r="A608" s="420"/>
      <c r="B608" s="420"/>
      <c r="C608" s="420"/>
      <c r="D608" s="420"/>
      <c r="E608" s="420"/>
      <c r="F608" s="420"/>
      <c r="G608" s="420"/>
      <c r="H608" s="420"/>
      <c r="I608" s="420"/>
      <c r="J608" s="420"/>
      <c r="K608" s="415"/>
      <c r="L608" s="416"/>
      <c r="M608" s="420"/>
    </row>
    <row r="609" spans="1:13">
      <c r="A609" s="420"/>
      <c r="B609" s="420"/>
      <c r="C609" s="420"/>
      <c r="D609" s="420"/>
      <c r="E609" s="420"/>
      <c r="F609" s="420"/>
      <c r="G609" s="420"/>
      <c r="H609" s="420"/>
      <c r="I609" s="420"/>
      <c r="J609" s="420"/>
      <c r="K609" s="415"/>
      <c r="L609" s="416"/>
      <c r="M609" s="420"/>
    </row>
    <row r="610" spans="1:13">
      <c r="A610" s="420"/>
      <c r="B610" s="420"/>
      <c r="C610" s="420"/>
      <c r="D610" s="420"/>
      <c r="E610" s="420"/>
      <c r="F610" s="420"/>
      <c r="G610" s="420"/>
      <c r="H610" s="420"/>
      <c r="I610" s="420"/>
      <c r="J610" s="420"/>
      <c r="K610" s="415"/>
      <c r="L610" s="416"/>
      <c r="M610" s="420"/>
    </row>
    <row r="611" spans="1:13">
      <c r="A611" s="420"/>
      <c r="B611" s="420"/>
      <c r="C611" s="420"/>
      <c r="D611" s="420"/>
      <c r="E611" s="420"/>
      <c r="F611" s="420"/>
      <c r="G611" s="420"/>
      <c r="H611" s="420"/>
      <c r="I611" s="420"/>
      <c r="J611" s="420"/>
      <c r="K611" s="415"/>
      <c r="L611" s="416"/>
      <c r="M611" s="420"/>
    </row>
    <row r="612" spans="1:13">
      <c r="A612" s="420"/>
      <c r="B612" s="420"/>
      <c r="C612" s="420"/>
      <c r="D612" s="420"/>
      <c r="E612" s="420"/>
      <c r="F612" s="420"/>
      <c r="G612" s="420"/>
      <c r="H612" s="420"/>
      <c r="I612" s="420"/>
      <c r="J612" s="420"/>
      <c r="K612" s="415"/>
      <c r="L612" s="416"/>
      <c r="M612" s="420"/>
    </row>
    <row r="613" spans="1:13">
      <c r="A613" s="420"/>
      <c r="B613" s="420"/>
      <c r="C613" s="420"/>
      <c r="D613" s="420"/>
      <c r="E613" s="420"/>
      <c r="F613" s="420"/>
      <c r="G613" s="420"/>
      <c r="H613" s="420"/>
      <c r="I613" s="420"/>
      <c r="J613" s="420"/>
      <c r="K613" s="415"/>
      <c r="L613" s="416"/>
      <c r="M613" s="420"/>
    </row>
    <row r="614" spans="1:13">
      <c r="A614" s="420"/>
      <c r="B614" s="420"/>
      <c r="C614" s="420"/>
      <c r="D614" s="420"/>
      <c r="E614" s="420"/>
      <c r="F614" s="420"/>
      <c r="G614" s="420"/>
      <c r="H614" s="420"/>
      <c r="I614" s="420"/>
      <c r="J614" s="420"/>
      <c r="K614" s="415"/>
      <c r="L614" s="416"/>
      <c r="M614" s="420"/>
    </row>
    <row r="615" spans="1:13">
      <c r="A615" s="420"/>
      <c r="B615" s="420"/>
      <c r="C615" s="420"/>
      <c r="D615" s="420"/>
      <c r="E615" s="420"/>
      <c r="F615" s="420"/>
      <c r="G615" s="420"/>
      <c r="H615" s="420"/>
      <c r="I615" s="420"/>
      <c r="J615" s="420"/>
      <c r="K615" s="415"/>
      <c r="L615" s="416"/>
      <c r="M615" s="420"/>
    </row>
    <row r="616" spans="1:13">
      <c r="A616" s="420"/>
      <c r="B616" s="420"/>
      <c r="C616" s="420"/>
      <c r="D616" s="420"/>
      <c r="E616" s="420"/>
      <c r="F616" s="420"/>
      <c r="G616" s="420"/>
      <c r="H616" s="420"/>
      <c r="I616" s="420"/>
      <c r="J616" s="420"/>
      <c r="K616" s="415"/>
      <c r="L616" s="416"/>
      <c r="M616" s="420"/>
    </row>
    <row r="617" spans="1:13">
      <c r="A617" s="420"/>
      <c r="B617" s="420"/>
      <c r="C617" s="420"/>
      <c r="D617" s="420"/>
      <c r="E617" s="420"/>
      <c r="F617" s="420"/>
      <c r="G617" s="420"/>
      <c r="H617" s="420"/>
      <c r="I617" s="420"/>
      <c r="J617" s="420"/>
      <c r="K617" s="415"/>
      <c r="L617" s="416"/>
      <c r="M617" s="420"/>
    </row>
    <row r="618" spans="1:13">
      <c r="A618" s="420"/>
      <c r="B618" s="420"/>
      <c r="C618" s="420"/>
      <c r="D618" s="420"/>
      <c r="E618" s="420"/>
      <c r="F618" s="420"/>
      <c r="G618" s="420"/>
      <c r="H618" s="420"/>
      <c r="I618" s="420"/>
      <c r="J618" s="420"/>
      <c r="K618" s="415"/>
      <c r="L618" s="416"/>
      <c r="M618" s="420"/>
    </row>
    <row r="619" spans="1:13">
      <c r="A619" s="420"/>
      <c r="B619" s="420"/>
      <c r="C619" s="420"/>
      <c r="D619" s="420"/>
      <c r="E619" s="420"/>
      <c r="F619" s="420"/>
      <c r="G619" s="420"/>
      <c r="H619" s="420"/>
      <c r="I619" s="420"/>
      <c r="J619" s="420"/>
      <c r="K619" s="415"/>
      <c r="L619" s="416"/>
      <c r="M619" s="420"/>
    </row>
    <row r="620" spans="1:13">
      <c r="A620" s="420"/>
      <c r="B620" s="420"/>
      <c r="C620" s="420"/>
      <c r="D620" s="420"/>
      <c r="E620" s="420"/>
      <c r="F620" s="420"/>
      <c r="G620" s="420"/>
      <c r="H620" s="420"/>
      <c r="I620" s="420"/>
      <c r="J620" s="420"/>
      <c r="K620" s="415"/>
      <c r="L620" s="416"/>
      <c r="M620" s="420"/>
    </row>
    <row r="621" spans="1:13">
      <c r="A621" s="420"/>
      <c r="B621" s="420"/>
      <c r="C621" s="420"/>
      <c r="D621" s="420"/>
      <c r="E621" s="420"/>
      <c r="F621" s="420"/>
      <c r="G621" s="420"/>
      <c r="H621" s="420"/>
      <c r="I621" s="420"/>
      <c r="J621" s="420"/>
      <c r="K621" s="415"/>
      <c r="L621" s="416"/>
      <c r="M621" s="420"/>
    </row>
    <row r="622" spans="1:13">
      <c r="A622" s="420"/>
      <c r="B622" s="420"/>
      <c r="C622" s="420"/>
      <c r="D622" s="420"/>
      <c r="E622" s="420"/>
      <c r="F622" s="420"/>
      <c r="G622" s="420"/>
      <c r="H622" s="420"/>
      <c r="I622" s="420"/>
      <c r="J622" s="420"/>
      <c r="K622" s="415"/>
      <c r="L622" s="416"/>
      <c r="M622" s="420"/>
    </row>
    <row r="623" spans="1:13">
      <c r="A623" s="420"/>
      <c r="B623" s="420"/>
      <c r="C623" s="420"/>
      <c r="D623" s="420"/>
      <c r="E623" s="420"/>
      <c r="F623" s="420"/>
      <c r="G623" s="420"/>
      <c r="H623" s="420"/>
      <c r="I623" s="420"/>
      <c r="J623" s="420"/>
      <c r="K623" s="415"/>
      <c r="L623" s="416"/>
      <c r="M623" s="420"/>
    </row>
    <row r="624" spans="1:13">
      <c r="A624" s="420"/>
      <c r="B624" s="420"/>
      <c r="C624" s="420"/>
      <c r="D624" s="420"/>
      <c r="E624" s="420"/>
      <c r="F624" s="420"/>
      <c r="G624" s="420"/>
      <c r="H624" s="420"/>
      <c r="I624" s="420"/>
      <c r="J624" s="420"/>
      <c r="K624" s="415"/>
      <c r="L624" s="416"/>
      <c r="M624" s="420"/>
    </row>
    <row r="625" spans="1:13">
      <c r="A625" s="420"/>
      <c r="B625" s="420"/>
      <c r="C625" s="420"/>
      <c r="D625" s="420"/>
      <c r="E625" s="420"/>
      <c r="F625" s="420"/>
      <c r="G625" s="420"/>
      <c r="H625" s="420"/>
      <c r="I625" s="420"/>
      <c r="J625" s="420"/>
      <c r="K625" s="415"/>
      <c r="L625" s="416"/>
      <c r="M625" s="420"/>
    </row>
    <row r="626" spans="1:13">
      <c r="A626" s="420"/>
      <c r="B626" s="420"/>
      <c r="C626" s="420"/>
      <c r="D626" s="420"/>
      <c r="E626" s="420"/>
      <c r="F626" s="420"/>
      <c r="G626" s="420"/>
      <c r="H626" s="420"/>
      <c r="I626" s="420"/>
      <c r="J626" s="420"/>
      <c r="K626" s="415"/>
      <c r="L626" s="416"/>
      <c r="M626" s="420"/>
    </row>
    <row r="627" spans="1:13">
      <c r="A627" s="420"/>
      <c r="B627" s="420"/>
      <c r="C627" s="420"/>
      <c r="D627" s="420"/>
      <c r="E627" s="420"/>
      <c r="F627" s="420"/>
      <c r="G627" s="420"/>
      <c r="H627" s="420"/>
      <c r="I627" s="420"/>
      <c r="J627" s="420"/>
      <c r="K627" s="415"/>
      <c r="L627" s="416"/>
      <c r="M627" s="420"/>
    </row>
    <row r="628" spans="1:13">
      <c r="A628" s="420"/>
      <c r="B628" s="420"/>
      <c r="C628" s="420"/>
      <c r="D628" s="420"/>
      <c r="E628" s="420"/>
      <c r="F628" s="420"/>
      <c r="G628" s="420"/>
      <c r="H628" s="420"/>
      <c r="I628" s="420"/>
      <c r="J628" s="420"/>
      <c r="K628" s="415"/>
      <c r="L628" s="416"/>
      <c r="M628" s="420"/>
    </row>
    <row r="629" spans="1:13">
      <c r="A629" s="420"/>
      <c r="B629" s="420"/>
      <c r="C629" s="420"/>
      <c r="D629" s="420"/>
      <c r="E629" s="420"/>
      <c r="F629" s="420"/>
      <c r="G629" s="420"/>
      <c r="H629" s="420"/>
      <c r="I629" s="420"/>
      <c r="J629" s="420"/>
      <c r="K629" s="415"/>
      <c r="L629" s="416"/>
      <c r="M629" s="420"/>
    </row>
    <row r="630" spans="1:13">
      <c r="A630" s="420"/>
      <c r="B630" s="420"/>
      <c r="C630" s="420"/>
      <c r="D630" s="420"/>
      <c r="E630" s="420"/>
      <c r="F630" s="420"/>
      <c r="G630" s="420"/>
      <c r="H630" s="420"/>
      <c r="I630" s="420"/>
      <c r="J630" s="420"/>
      <c r="K630" s="415"/>
      <c r="L630" s="416"/>
      <c r="M630" s="420"/>
    </row>
    <row r="631" spans="1:13">
      <c r="A631" s="420"/>
      <c r="B631" s="420"/>
      <c r="C631" s="420"/>
      <c r="D631" s="420"/>
      <c r="E631" s="420"/>
      <c r="F631" s="420"/>
      <c r="G631" s="420"/>
      <c r="H631" s="420"/>
      <c r="I631" s="420"/>
      <c r="J631" s="420"/>
      <c r="K631" s="415"/>
      <c r="L631" s="416"/>
      <c r="M631" s="420"/>
    </row>
    <row r="632" spans="1:13">
      <c r="A632" s="420"/>
      <c r="B632" s="420"/>
      <c r="C632" s="420"/>
      <c r="D632" s="420"/>
      <c r="E632" s="420"/>
      <c r="F632" s="420"/>
      <c r="G632" s="420"/>
      <c r="H632" s="420"/>
      <c r="I632" s="420"/>
      <c r="J632" s="420"/>
      <c r="K632" s="415"/>
      <c r="L632" s="416"/>
      <c r="M632" s="420"/>
    </row>
    <row r="633" spans="1:13">
      <c r="A633" s="420"/>
      <c r="B633" s="420"/>
      <c r="C633" s="420"/>
      <c r="D633" s="420"/>
      <c r="E633" s="420"/>
      <c r="F633" s="420"/>
      <c r="G633" s="420"/>
      <c r="H633" s="420"/>
      <c r="I633" s="420"/>
      <c r="J633" s="420"/>
      <c r="K633" s="415"/>
      <c r="L633" s="416"/>
      <c r="M633" s="420"/>
    </row>
    <row r="634" spans="1:13">
      <c r="A634" s="420"/>
      <c r="B634" s="420"/>
      <c r="C634" s="420"/>
      <c r="D634" s="420"/>
      <c r="E634" s="420"/>
      <c r="F634" s="420"/>
      <c r="G634" s="420"/>
      <c r="H634" s="420"/>
      <c r="I634" s="420"/>
      <c r="J634" s="420"/>
      <c r="K634" s="415"/>
      <c r="L634" s="416"/>
      <c r="M634" s="420"/>
    </row>
    <row r="635" spans="1:13">
      <c r="A635" s="420"/>
      <c r="B635" s="420"/>
      <c r="C635" s="420"/>
      <c r="D635" s="420"/>
      <c r="E635" s="420"/>
      <c r="F635" s="420"/>
      <c r="G635" s="420"/>
      <c r="H635" s="420"/>
      <c r="I635" s="420"/>
      <c r="J635" s="420"/>
      <c r="K635" s="415"/>
      <c r="L635" s="416"/>
      <c r="M635" s="420"/>
    </row>
    <row r="636" spans="1:13">
      <c r="A636" s="420"/>
      <c r="B636" s="420"/>
      <c r="C636" s="420"/>
      <c r="D636" s="420"/>
      <c r="E636" s="420"/>
      <c r="F636" s="420"/>
      <c r="G636" s="420"/>
      <c r="H636" s="420"/>
      <c r="I636" s="420"/>
      <c r="J636" s="420"/>
      <c r="K636" s="415"/>
      <c r="L636" s="416"/>
      <c r="M636" s="420"/>
    </row>
    <row r="637" spans="1:13">
      <c r="A637" s="420"/>
      <c r="B637" s="420"/>
      <c r="C637" s="420"/>
      <c r="D637" s="420"/>
      <c r="E637" s="420"/>
      <c r="F637" s="420"/>
      <c r="G637" s="420"/>
      <c r="H637" s="420"/>
      <c r="I637" s="420"/>
      <c r="J637" s="420"/>
      <c r="K637" s="415"/>
      <c r="L637" s="416"/>
      <c r="M637" s="420"/>
    </row>
    <row r="638" spans="1:13">
      <c r="A638" s="420"/>
      <c r="B638" s="420"/>
      <c r="C638" s="420"/>
      <c r="D638" s="420"/>
      <c r="E638" s="420"/>
      <c r="F638" s="420"/>
      <c r="G638" s="420"/>
      <c r="H638" s="420"/>
      <c r="I638" s="420"/>
      <c r="J638" s="420"/>
      <c r="K638" s="415"/>
      <c r="L638" s="416"/>
      <c r="M638" s="420"/>
    </row>
    <row r="639" spans="1:13">
      <c r="A639" s="420"/>
      <c r="B639" s="420"/>
      <c r="C639" s="420"/>
      <c r="D639" s="420"/>
      <c r="E639" s="420"/>
      <c r="F639" s="420"/>
      <c r="G639" s="420"/>
      <c r="H639" s="420"/>
      <c r="I639" s="420"/>
      <c r="J639" s="420"/>
      <c r="K639" s="415"/>
      <c r="L639" s="416"/>
      <c r="M639" s="420"/>
    </row>
    <row r="640" spans="1:13">
      <c r="A640" s="420"/>
      <c r="B640" s="420"/>
      <c r="C640" s="420"/>
      <c r="D640" s="420"/>
      <c r="E640" s="420"/>
      <c r="F640" s="420"/>
      <c r="G640" s="420"/>
      <c r="H640" s="420"/>
      <c r="I640" s="420"/>
      <c r="J640" s="420"/>
      <c r="K640" s="415"/>
      <c r="L640" s="416"/>
      <c r="M640" s="420"/>
    </row>
    <row r="641" spans="1:13">
      <c r="A641" s="420"/>
      <c r="B641" s="420"/>
      <c r="C641" s="420"/>
      <c r="D641" s="420"/>
      <c r="E641" s="420"/>
      <c r="F641" s="420"/>
      <c r="G641" s="420"/>
      <c r="H641" s="420"/>
      <c r="I641" s="420"/>
      <c r="J641" s="420"/>
      <c r="K641" s="415"/>
      <c r="L641" s="416"/>
      <c r="M641" s="420"/>
    </row>
    <row r="642" spans="1:13">
      <c r="A642" s="420"/>
      <c r="B642" s="420"/>
      <c r="C642" s="420"/>
      <c r="D642" s="420"/>
      <c r="E642" s="420"/>
      <c r="F642" s="420"/>
      <c r="G642" s="420"/>
      <c r="H642" s="420"/>
      <c r="I642" s="420"/>
      <c r="J642" s="420"/>
      <c r="K642" s="415"/>
      <c r="L642" s="416"/>
      <c r="M642" s="420"/>
    </row>
    <row r="643" spans="1:13">
      <c r="A643" s="420"/>
      <c r="B643" s="420"/>
      <c r="C643" s="420"/>
      <c r="D643" s="420"/>
      <c r="E643" s="420"/>
      <c r="F643" s="420"/>
      <c r="G643" s="420"/>
      <c r="H643" s="420"/>
      <c r="I643" s="420"/>
      <c r="J643" s="420"/>
      <c r="K643" s="415"/>
      <c r="L643" s="416"/>
      <c r="M643" s="420"/>
    </row>
    <row r="644" spans="1:13">
      <c r="A644" s="420"/>
      <c r="B644" s="420"/>
      <c r="C644" s="420"/>
      <c r="D644" s="420"/>
      <c r="E644" s="420"/>
      <c r="F644" s="420"/>
      <c r="G644" s="420"/>
      <c r="H644" s="420"/>
      <c r="I644" s="420"/>
      <c r="J644" s="420"/>
      <c r="K644" s="415"/>
      <c r="L644" s="416"/>
      <c r="M644" s="420"/>
    </row>
    <row r="645" spans="1:13">
      <c r="A645" s="420"/>
      <c r="B645" s="420"/>
      <c r="C645" s="420"/>
      <c r="D645" s="420"/>
      <c r="E645" s="420"/>
      <c r="F645" s="420"/>
      <c r="G645" s="420"/>
      <c r="H645" s="420"/>
      <c r="I645" s="420"/>
      <c r="J645" s="420"/>
      <c r="K645" s="415"/>
      <c r="L645" s="416"/>
      <c r="M645" s="420"/>
    </row>
    <row r="646" spans="1:13">
      <c r="A646" s="420"/>
      <c r="B646" s="420"/>
      <c r="C646" s="420"/>
      <c r="D646" s="420"/>
      <c r="E646" s="420"/>
      <c r="F646" s="420"/>
      <c r="G646" s="420"/>
      <c r="H646" s="420"/>
      <c r="I646" s="420"/>
      <c r="J646" s="420"/>
      <c r="K646" s="415"/>
      <c r="L646" s="416"/>
      <c r="M646" s="420"/>
    </row>
    <row r="647" spans="1:13">
      <c r="A647" s="420"/>
      <c r="B647" s="420"/>
      <c r="C647" s="420"/>
      <c r="D647" s="420"/>
      <c r="E647" s="420"/>
      <c r="F647" s="420"/>
      <c r="G647" s="420"/>
      <c r="H647" s="420"/>
      <c r="I647" s="420"/>
      <c r="J647" s="420"/>
      <c r="K647" s="415"/>
      <c r="L647" s="416"/>
      <c r="M647" s="420"/>
    </row>
    <row r="648" spans="1:13">
      <c r="A648" s="420"/>
      <c r="B648" s="420"/>
      <c r="C648" s="420"/>
      <c r="D648" s="420"/>
      <c r="E648" s="420"/>
      <c r="F648" s="420"/>
      <c r="G648" s="420"/>
      <c r="H648" s="420"/>
      <c r="I648" s="420"/>
      <c r="J648" s="420"/>
      <c r="K648" s="415"/>
      <c r="L648" s="416"/>
      <c r="M648" s="420"/>
    </row>
    <row r="649" spans="1:13">
      <c r="A649" s="420"/>
      <c r="B649" s="420"/>
      <c r="C649" s="420"/>
      <c r="D649" s="420"/>
      <c r="E649" s="420"/>
      <c r="F649" s="420"/>
      <c r="G649" s="420"/>
      <c r="H649" s="420"/>
      <c r="I649" s="420"/>
      <c r="J649" s="420"/>
      <c r="K649" s="415"/>
      <c r="L649" s="416"/>
      <c r="M649" s="420"/>
    </row>
    <row r="650" spans="1:13">
      <c r="A650" s="420"/>
      <c r="B650" s="420"/>
      <c r="C650" s="420"/>
      <c r="D650" s="420"/>
      <c r="E650" s="420"/>
      <c r="F650" s="420"/>
      <c r="G650" s="420"/>
      <c r="H650" s="420"/>
      <c r="I650" s="420"/>
      <c r="J650" s="420"/>
      <c r="K650" s="415"/>
      <c r="L650" s="416"/>
      <c r="M650" s="420"/>
    </row>
    <row r="651" spans="1:13">
      <c r="A651" s="420"/>
      <c r="B651" s="420"/>
      <c r="C651" s="420"/>
      <c r="D651" s="420"/>
      <c r="E651" s="420"/>
      <c r="F651" s="420"/>
      <c r="G651" s="420"/>
      <c r="H651" s="420"/>
      <c r="I651" s="420"/>
      <c r="J651" s="420"/>
      <c r="K651" s="415"/>
      <c r="L651" s="416"/>
      <c r="M651" s="420"/>
    </row>
    <row r="652" spans="1:13">
      <c r="A652" s="420"/>
      <c r="B652" s="420"/>
      <c r="C652" s="420"/>
      <c r="D652" s="420"/>
      <c r="E652" s="420"/>
      <c r="F652" s="420"/>
      <c r="G652" s="420"/>
      <c r="H652" s="420"/>
      <c r="I652" s="420"/>
      <c r="J652" s="420"/>
      <c r="K652" s="415"/>
      <c r="L652" s="416"/>
      <c r="M652" s="420"/>
    </row>
    <row r="653" spans="1:13">
      <c r="A653" s="420"/>
      <c r="B653" s="420"/>
      <c r="C653" s="420"/>
      <c r="D653" s="420"/>
      <c r="E653" s="420"/>
      <c r="F653" s="420"/>
      <c r="G653" s="420"/>
      <c r="H653" s="420"/>
      <c r="I653" s="420"/>
      <c r="J653" s="420"/>
      <c r="K653" s="415"/>
      <c r="L653" s="416"/>
      <c r="M653" s="420"/>
    </row>
    <row r="654" spans="1:13">
      <c r="A654" s="420"/>
      <c r="B654" s="420"/>
      <c r="C654" s="420"/>
      <c r="D654" s="420"/>
      <c r="E654" s="420"/>
      <c r="F654" s="420"/>
      <c r="G654" s="420"/>
      <c r="H654" s="420"/>
      <c r="I654" s="420"/>
      <c r="J654" s="420"/>
      <c r="K654" s="415"/>
      <c r="L654" s="416"/>
      <c r="M654" s="420"/>
    </row>
    <row r="655" spans="1:13">
      <c r="A655" s="420"/>
      <c r="B655" s="420"/>
      <c r="C655" s="420"/>
      <c r="D655" s="420"/>
      <c r="E655" s="420"/>
      <c r="F655" s="420"/>
      <c r="G655" s="420"/>
      <c r="H655" s="420"/>
      <c r="I655" s="420"/>
      <c r="J655" s="420"/>
      <c r="K655" s="415"/>
      <c r="L655" s="416"/>
      <c r="M655" s="420"/>
    </row>
    <row r="656" spans="1:13">
      <c r="A656" s="420"/>
      <c r="B656" s="420"/>
      <c r="C656" s="420"/>
      <c r="D656" s="420"/>
      <c r="E656" s="420"/>
      <c r="F656" s="420"/>
      <c r="G656" s="420"/>
      <c r="H656" s="420"/>
      <c r="I656" s="420"/>
      <c r="J656" s="420"/>
      <c r="K656" s="415"/>
      <c r="L656" s="416"/>
      <c r="M656" s="420"/>
    </row>
    <row r="657" spans="1:13">
      <c r="A657" s="420"/>
      <c r="B657" s="420"/>
      <c r="C657" s="420"/>
      <c r="D657" s="420"/>
      <c r="E657" s="420"/>
      <c r="F657" s="420"/>
      <c r="G657" s="420"/>
      <c r="H657" s="420"/>
      <c r="I657" s="420"/>
      <c r="J657" s="420"/>
      <c r="K657" s="415"/>
      <c r="L657" s="416"/>
      <c r="M657" s="420"/>
    </row>
    <row r="658" spans="1:13">
      <c r="A658" s="420"/>
      <c r="B658" s="420"/>
      <c r="C658" s="420"/>
      <c r="D658" s="420"/>
      <c r="E658" s="420"/>
      <c r="F658" s="420"/>
      <c r="G658" s="420"/>
      <c r="H658" s="420"/>
      <c r="I658" s="420"/>
      <c r="J658" s="420"/>
      <c r="K658" s="415"/>
      <c r="L658" s="416"/>
      <c r="M658" s="420"/>
    </row>
    <row r="659" spans="1:13">
      <c r="A659" s="420"/>
      <c r="B659" s="420"/>
      <c r="C659" s="420"/>
      <c r="D659" s="420"/>
      <c r="E659" s="420"/>
      <c r="F659" s="420"/>
      <c r="G659" s="420"/>
      <c r="H659" s="420"/>
      <c r="I659" s="420"/>
      <c r="J659" s="420"/>
      <c r="K659" s="415"/>
      <c r="L659" s="416"/>
      <c r="M659" s="420"/>
    </row>
    <row r="660" spans="1:13">
      <c r="A660" s="420"/>
      <c r="B660" s="420"/>
      <c r="C660" s="420"/>
      <c r="D660" s="420"/>
      <c r="E660" s="420"/>
      <c r="F660" s="420"/>
      <c r="G660" s="420"/>
      <c r="H660" s="420"/>
      <c r="I660" s="420"/>
      <c r="J660" s="420"/>
      <c r="K660" s="415"/>
      <c r="L660" s="416"/>
      <c r="M660" s="420"/>
    </row>
    <row r="661" spans="1:13">
      <c r="A661" s="420"/>
      <c r="B661" s="420"/>
      <c r="C661" s="420"/>
      <c r="D661" s="420"/>
      <c r="E661" s="420"/>
      <c r="F661" s="420"/>
      <c r="G661" s="420"/>
      <c r="H661" s="420"/>
      <c r="I661" s="420"/>
      <c r="J661" s="420"/>
      <c r="K661" s="415"/>
      <c r="L661" s="416"/>
      <c r="M661" s="420"/>
    </row>
    <row r="662" spans="1:13">
      <c r="A662" s="420"/>
      <c r="B662" s="420"/>
      <c r="C662" s="420"/>
      <c r="D662" s="420"/>
      <c r="E662" s="420"/>
      <c r="F662" s="420"/>
      <c r="G662" s="420"/>
      <c r="H662" s="420"/>
      <c r="I662" s="420"/>
      <c r="J662" s="420"/>
      <c r="K662" s="415"/>
      <c r="L662" s="416"/>
      <c r="M662" s="420"/>
    </row>
    <row r="663" spans="1:13">
      <c r="A663" s="420"/>
      <c r="B663" s="420"/>
      <c r="C663" s="420"/>
      <c r="D663" s="420"/>
      <c r="E663" s="420"/>
      <c r="F663" s="420"/>
      <c r="G663" s="420"/>
      <c r="H663" s="420"/>
      <c r="I663" s="420"/>
      <c r="J663" s="420"/>
      <c r="K663" s="420"/>
      <c r="L663" s="420"/>
      <c r="M663" s="420"/>
    </row>
    <row r="664" spans="1:13">
      <c r="A664" s="420"/>
      <c r="B664" s="420"/>
      <c r="C664" s="420"/>
      <c r="D664" s="420"/>
      <c r="E664" s="420"/>
      <c r="F664" s="420"/>
      <c r="G664" s="420"/>
      <c r="H664" s="420"/>
      <c r="I664" s="420"/>
      <c r="J664" s="420"/>
      <c r="K664" s="420"/>
      <c r="L664" s="420"/>
      <c r="M664" s="420"/>
    </row>
    <row r="665" spans="1:13">
      <c r="A665" s="420"/>
      <c r="B665" s="420"/>
      <c r="C665" s="420"/>
      <c r="D665" s="420"/>
      <c r="E665" s="420"/>
      <c r="F665" s="420"/>
      <c r="G665" s="420"/>
      <c r="H665" s="420"/>
      <c r="I665" s="420"/>
      <c r="J665" s="420"/>
      <c r="K665" s="420"/>
      <c r="L665" s="420"/>
      <c r="M665" s="420"/>
    </row>
    <row r="666" spans="1:13">
      <c r="A666" s="420"/>
      <c r="B666" s="420"/>
      <c r="C666" s="420"/>
      <c r="D666" s="420"/>
      <c r="E666" s="420"/>
      <c r="F666" s="420"/>
      <c r="G666" s="420"/>
      <c r="H666" s="420"/>
      <c r="I666" s="420"/>
      <c r="J666" s="420"/>
      <c r="K666" s="420"/>
      <c r="L666" s="420"/>
      <c r="M666" s="420"/>
    </row>
    <row r="667" spans="1:13">
      <c r="A667" s="420"/>
      <c r="B667" s="420"/>
      <c r="C667" s="420"/>
      <c r="D667" s="420"/>
      <c r="E667" s="420"/>
      <c r="F667" s="420"/>
      <c r="G667" s="420"/>
      <c r="H667" s="420"/>
      <c r="I667" s="420"/>
      <c r="J667" s="420"/>
      <c r="K667" s="420"/>
      <c r="L667" s="420"/>
      <c r="M667" s="420"/>
    </row>
    <row r="668" spans="1:13">
      <c r="A668" s="420"/>
      <c r="B668" s="420"/>
      <c r="C668" s="420"/>
      <c r="D668" s="420"/>
      <c r="E668" s="420"/>
      <c r="F668" s="420"/>
      <c r="G668" s="420"/>
      <c r="H668" s="420"/>
      <c r="I668" s="420"/>
      <c r="J668" s="420"/>
      <c r="K668" s="420"/>
      <c r="L668" s="420"/>
      <c r="M668" s="420"/>
    </row>
    <row r="669" spans="1:13">
      <c r="A669" s="420"/>
      <c r="B669" s="420"/>
      <c r="C669" s="420"/>
      <c r="D669" s="420"/>
      <c r="E669" s="420"/>
      <c r="F669" s="420"/>
      <c r="G669" s="420"/>
      <c r="H669" s="420"/>
      <c r="I669" s="420"/>
      <c r="J669" s="420"/>
      <c r="K669" s="420"/>
      <c r="L669" s="420"/>
      <c r="M669" s="420"/>
    </row>
    <row r="670" spans="1:13">
      <c r="A670" s="420"/>
      <c r="B670" s="420"/>
      <c r="C670" s="420"/>
      <c r="D670" s="420"/>
      <c r="E670" s="420"/>
      <c r="F670" s="420"/>
      <c r="G670" s="420"/>
      <c r="H670" s="420"/>
      <c r="I670" s="420"/>
      <c r="J670" s="420"/>
      <c r="K670" s="420"/>
      <c r="L670" s="420"/>
      <c r="M670" s="420"/>
    </row>
    <row r="671" spans="1:13">
      <c r="A671" s="420"/>
      <c r="B671" s="420"/>
      <c r="C671" s="420"/>
      <c r="D671" s="420"/>
      <c r="E671" s="420"/>
      <c r="F671" s="420"/>
      <c r="G671" s="420"/>
      <c r="H671" s="420"/>
      <c r="I671" s="420"/>
      <c r="J671" s="420"/>
      <c r="K671" s="420"/>
      <c r="L671" s="420"/>
      <c r="M671" s="420"/>
    </row>
    <row r="672" spans="1:13">
      <c r="A672" s="420"/>
      <c r="B672" s="420"/>
      <c r="C672" s="420"/>
      <c r="D672" s="420"/>
      <c r="E672" s="420"/>
      <c r="F672" s="420"/>
      <c r="G672" s="420"/>
      <c r="H672" s="420"/>
      <c r="I672" s="420"/>
      <c r="J672" s="420"/>
      <c r="K672" s="420"/>
      <c r="L672" s="420"/>
      <c r="M672" s="420"/>
    </row>
    <row r="673" spans="1:13">
      <c r="A673" s="420"/>
      <c r="B673" s="420"/>
      <c r="C673" s="420"/>
      <c r="D673" s="420"/>
      <c r="E673" s="420"/>
      <c r="F673" s="420"/>
      <c r="G673" s="420"/>
      <c r="H673" s="420"/>
      <c r="I673" s="420"/>
      <c r="J673" s="420"/>
      <c r="K673" s="420"/>
      <c r="L673" s="420"/>
      <c r="M673" s="420"/>
    </row>
    <row r="674" spans="1:13">
      <c r="A674" s="420"/>
      <c r="B674" s="420"/>
      <c r="C674" s="420"/>
      <c r="D674" s="420"/>
      <c r="E674" s="420"/>
      <c r="F674" s="420"/>
      <c r="G674" s="420"/>
      <c r="H674" s="420"/>
      <c r="I674" s="420"/>
      <c r="J674" s="420"/>
      <c r="K674" s="420"/>
      <c r="L674" s="420"/>
      <c r="M674" s="420"/>
    </row>
    <row r="675" spans="1:13">
      <c r="A675" s="420"/>
      <c r="B675" s="420"/>
      <c r="C675" s="420"/>
      <c r="D675" s="420"/>
      <c r="E675" s="420"/>
      <c r="F675" s="420"/>
      <c r="G675" s="420"/>
      <c r="H675" s="420"/>
      <c r="I675" s="420"/>
      <c r="J675" s="420"/>
      <c r="K675" s="420"/>
      <c r="L675" s="420"/>
      <c r="M675" s="420"/>
    </row>
    <row r="676" spans="1:13">
      <c r="A676" s="420"/>
      <c r="B676" s="420"/>
      <c r="C676" s="420"/>
      <c r="D676" s="420"/>
      <c r="E676" s="420"/>
      <c r="F676" s="420"/>
      <c r="G676" s="420"/>
      <c r="H676" s="420"/>
      <c r="I676" s="420"/>
      <c r="J676" s="420"/>
      <c r="K676" s="420"/>
      <c r="L676" s="420"/>
      <c r="M676" s="420"/>
    </row>
    <row r="677" spans="1:13">
      <c r="A677" s="420"/>
      <c r="B677" s="420"/>
      <c r="C677" s="420"/>
      <c r="D677" s="420"/>
      <c r="E677" s="420"/>
      <c r="F677" s="420"/>
      <c r="G677" s="420"/>
      <c r="H677" s="420"/>
      <c r="I677" s="420"/>
      <c r="J677" s="420"/>
      <c r="K677" s="420"/>
      <c r="L677" s="420"/>
      <c r="M677" s="420"/>
    </row>
    <row r="678" spans="1:13">
      <c r="A678" s="420"/>
      <c r="B678" s="420"/>
      <c r="C678" s="420"/>
      <c r="D678" s="420"/>
      <c r="E678" s="420"/>
      <c r="F678" s="420"/>
      <c r="G678" s="420"/>
      <c r="H678" s="420"/>
      <c r="I678" s="420"/>
      <c r="J678" s="420"/>
      <c r="K678" s="420"/>
      <c r="L678" s="420"/>
      <c r="M678" s="420"/>
    </row>
    <row r="679" spans="1:13">
      <c r="A679" s="420"/>
      <c r="B679" s="420"/>
      <c r="C679" s="420"/>
      <c r="D679" s="420"/>
      <c r="E679" s="420"/>
      <c r="F679" s="420"/>
      <c r="G679" s="420"/>
      <c r="H679" s="420"/>
      <c r="I679" s="420"/>
      <c r="J679" s="420"/>
      <c r="K679" s="420"/>
      <c r="L679" s="420"/>
      <c r="M679" s="420"/>
    </row>
    <row r="680" spans="1:13">
      <c r="A680" s="420"/>
      <c r="B680" s="420"/>
      <c r="C680" s="420"/>
      <c r="D680" s="420"/>
      <c r="E680" s="420"/>
      <c r="F680" s="420"/>
      <c r="G680" s="420"/>
      <c r="H680" s="420"/>
      <c r="I680" s="420"/>
      <c r="J680" s="420"/>
      <c r="K680" s="420"/>
      <c r="L680" s="420"/>
      <c r="M680" s="420"/>
    </row>
    <row r="681" spans="1:13">
      <c r="A681" s="420"/>
      <c r="B681" s="420"/>
      <c r="C681" s="420"/>
      <c r="D681" s="420"/>
      <c r="E681" s="420"/>
      <c r="F681" s="420"/>
      <c r="G681" s="420"/>
      <c r="H681" s="420"/>
      <c r="I681" s="420"/>
      <c r="J681" s="420"/>
      <c r="K681" s="420"/>
      <c r="L681" s="420"/>
      <c r="M681" s="420"/>
    </row>
    <row r="682" spans="1:13">
      <c r="A682" s="420"/>
      <c r="B682" s="420"/>
      <c r="C682" s="420"/>
      <c r="D682" s="420"/>
      <c r="E682" s="420"/>
      <c r="F682" s="420"/>
      <c r="G682" s="420"/>
      <c r="H682" s="420"/>
      <c r="I682" s="420"/>
      <c r="J682" s="420"/>
      <c r="K682" s="420"/>
      <c r="L682" s="420"/>
      <c r="M682" s="420"/>
    </row>
    <row r="683" spans="1:13">
      <c r="A683" s="420"/>
      <c r="B683" s="420"/>
      <c r="C683" s="420"/>
      <c r="D683" s="420"/>
      <c r="E683" s="420"/>
      <c r="F683" s="420"/>
      <c r="G683" s="420"/>
      <c r="H683" s="420"/>
      <c r="I683" s="420"/>
      <c r="J683" s="420"/>
      <c r="K683" s="420"/>
      <c r="L683" s="420"/>
      <c r="M683" s="420"/>
    </row>
    <row r="684" spans="1:13">
      <c r="A684" s="420"/>
      <c r="B684" s="420"/>
      <c r="C684" s="420"/>
      <c r="D684" s="420"/>
      <c r="E684" s="420"/>
      <c r="F684" s="420"/>
      <c r="G684" s="420"/>
      <c r="H684" s="420"/>
      <c r="I684" s="420"/>
      <c r="J684" s="420"/>
      <c r="K684" s="420"/>
      <c r="L684" s="420"/>
      <c r="M684" s="420"/>
    </row>
    <row r="685" spans="1:13">
      <c r="A685" s="420"/>
      <c r="B685" s="420"/>
      <c r="C685" s="420"/>
      <c r="D685" s="420"/>
      <c r="E685" s="420"/>
      <c r="F685" s="420"/>
      <c r="G685" s="420"/>
      <c r="H685" s="420"/>
      <c r="I685" s="420"/>
      <c r="J685" s="420"/>
      <c r="K685" s="420"/>
      <c r="L685" s="420"/>
      <c r="M685" s="420"/>
    </row>
    <row r="686" spans="1:13">
      <c r="A686" s="420"/>
      <c r="B686" s="420"/>
      <c r="C686" s="420"/>
      <c r="D686" s="420"/>
      <c r="E686" s="420"/>
      <c r="F686" s="420"/>
      <c r="G686" s="420"/>
      <c r="H686" s="420"/>
      <c r="I686" s="420"/>
      <c r="J686" s="420"/>
      <c r="K686" s="420"/>
      <c r="L686" s="420"/>
      <c r="M686" s="420"/>
    </row>
    <row r="687" spans="1:13">
      <c r="A687" s="420"/>
      <c r="B687" s="420"/>
      <c r="C687" s="420"/>
      <c r="D687" s="420"/>
      <c r="E687" s="420"/>
      <c r="F687" s="420"/>
      <c r="G687" s="420"/>
      <c r="H687" s="420"/>
      <c r="I687" s="420"/>
      <c r="J687" s="420"/>
      <c r="K687" s="420"/>
      <c r="L687" s="420"/>
      <c r="M687" s="420"/>
    </row>
    <row r="688" spans="1:13">
      <c r="K688" s="424"/>
      <c r="L688" s="424"/>
      <c r="M688" s="424"/>
    </row>
    <row r="689" spans="11:13">
      <c r="K689" s="424"/>
      <c r="L689" s="424"/>
      <c r="M689" s="424"/>
    </row>
    <row r="690" spans="11:13">
      <c r="K690" s="424"/>
      <c r="L690" s="424"/>
      <c r="M690" s="424"/>
    </row>
    <row r="691" spans="11:13">
      <c r="K691" s="424"/>
      <c r="L691" s="424"/>
      <c r="M691" s="424"/>
    </row>
    <row r="692" spans="11:13">
      <c r="K692" s="424"/>
      <c r="L692" s="424"/>
      <c r="M692" s="424"/>
    </row>
    <row r="693" spans="11:13">
      <c r="K693" s="424"/>
      <c r="L693" s="424"/>
      <c r="M693" s="424"/>
    </row>
    <row r="694" spans="11:13">
      <c r="K694" s="424"/>
      <c r="L694" s="424"/>
      <c r="M694" s="424"/>
    </row>
    <row r="695" spans="11:13">
      <c r="K695" s="424"/>
      <c r="L695" s="424"/>
      <c r="M695" s="424"/>
    </row>
    <row r="696" spans="11:13">
      <c r="K696" s="424"/>
      <c r="L696" s="424"/>
      <c r="M696" s="424"/>
    </row>
    <row r="697" spans="11:13">
      <c r="K697" s="424"/>
      <c r="L697" s="424"/>
      <c r="M697" s="424"/>
    </row>
    <row r="698" spans="11:13">
      <c r="K698" s="424"/>
      <c r="L698" s="424"/>
      <c r="M698" s="424"/>
    </row>
    <row r="699" spans="11:13">
      <c r="K699" s="424"/>
      <c r="L699" s="424"/>
      <c r="M699" s="424"/>
    </row>
    <row r="700" spans="11:13">
      <c r="K700" s="424"/>
      <c r="L700" s="424"/>
      <c r="M700" s="424"/>
    </row>
    <row r="701" spans="11:13">
      <c r="K701" s="424"/>
      <c r="L701" s="424"/>
      <c r="M701" s="424"/>
    </row>
    <row r="702" spans="11:13">
      <c r="K702" s="424"/>
      <c r="L702" s="424"/>
      <c r="M702" s="424"/>
    </row>
    <row r="703" spans="11:13">
      <c r="K703" s="424"/>
      <c r="L703" s="424"/>
      <c r="M703" s="424"/>
    </row>
    <row r="704" spans="11:13">
      <c r="K704" s="424"/>
      <c r="L704" s="424"/>
      <c r="M704" s="424"/>
    </row>
  </sheetData>
  <mergeCells count="24">
    <mergeCell ref="BM182:BT182"/>
    <mergeCell ref="AU191:BB191"/>
    <mergeCell ref="BV198:CC198"/>
    <mergeCell ref="BD200:BK200"/>
    <mergeCell ref="AU19:BB19"/>
    <mergeCell ref="BD19:BK19"/>
    <mergeCell ref="BM19:BT19"/>
    <mergeCell ref="BV19:CC19"/>
    <mergeCell ref="AJ181:AQ181"/>
    <mergeCell ref="AJ1:AQ1"/>
    <mergeCell ref="W2:X2"/>
    <mergeCell ref="AA48:AH48"/>
    <mergeCell ref="D4:E4"/>
    <mergeCell ref="L4:M4"/>
    <mergeCell ref="D5:E5"/>
    <mergeCell ref="L5:M5"/>
    <mergeCell ref="L6:M6"/>
    <mergeCell ref="W12:X12"/>
    <mergeCell ref="W13:X13"/>
    <mergeCell ref="D3:E3"/>
    <mergeCell ref="L3:M3"/>
    <mergeCell ref="A1:B1"/>
    <mergeCell ref="W1:X1"/>
    <mergeCell ref="AA1:AH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N44"/>
  <sheetViews>
    <sheetView showGridLines="0" showRowColHeaders="0" zoomScale="90" zoomScaleNormal="90" workbookViewId="0"/>
  </sheetViews>
  <sheetFormatPr defaultRowHeight="15.95" customHeight="1"/>
  <cols>
    <col min="1" max="4" width="18.7109375" style="82" customWidth="1"/>
    <col min="5" max="5" width="3.140625" style="82" customWidth="1"/>
    <col min="6" max="9" width="18.7109375" style="82" customWidth="1"/>
    <col min="10" max="10" width="9.42578125" style="82" customWidth="1"/>
    <col min="11" max="16384" width="9.140625" style="82"/>
  </cols>
  <sheetData>
    <row r="1" spans="1:14" ht="15.95" customHeight="1" thickBot="1">
      <c r="A1" s="495" t="s">
        <v>371</v>
      </c>
      <c r="B1" s="505" t="s">
        <v>369</v>
      </c>
      <c r="C1" s="506" t="s">
        <v>370</v>
      </c>
      <c r="D1" s="505" t="s">
        <v>392</v>
      </c>
      <c r="F1" s="495" t="s">
        <v>381</v>
      </c>
      <c r="G1" s="505" t="s">
        <v>369</v>
      </c>
      <c r="H1" s="506" t="s">
        <v>370</v>
      </c>
      <c r="I1" s="505" t="s">
        <v>392</v>
      </c>
      <c r="J1" s="798"/>
      <c r="K1" s="799">
        <v>303</v>
      </c>
      <c r="L1" s="502" t="s">
        <v>172</v>
      </c>
      <c r="M1" s="501" t="s">
        <v>396</v>
      </c>
      <c r="N1" s="502" t="s">
        <v>397</v>
      </c>
    </row>
    <row r="2" spans="1:14" ht="15.95" customHeight="1" thickBot="1">
      <c r="A2" s="498">
        <v>423</v>
      </c>
      <c r="B2" s="496" t="s">
        <v>372</v>
      </c>
      <c r="C2" s="499"/>
      <c r="D2" s="496"/>
      <c r="F2" s="498">
        <v>392</v>
      </c>
      <c r="G2" s="496">
        <v>2</v>
      </c>
      <c r="H2" s="800">
        <v>123</v>
      </c>
      <c r="I2" s="496"/>
      <c r="J2" s="798"/>
      <c r="K2" s="801">
        <v>5.7</v>
      </c>
      <c r="L2" s="503">
        <f>K2*0.356</f>
        <v>2.0291999999999999</v>
      </c>
      <c r="M2" s="802">
        <f>L2+4.45</f>
        <v>6.4792000000000005</v>
      </c>
      <c r="N2" s="503">
        <f>L2-4.45</f>
        <v>-2.4208000000000003</v>
      </c>
    </row>
    <row r="3" spans="1:14" ht="15.95" customHeight="1" thickBot="1">
      <c r="A3" s="500">
        <v>434</v>
      </c>
      <c r="B3" s="496" t="s">
        <v>372</v>
      </c>
      <c r="C3" s="499"/>
      <c r="D3" s="496"/>
      <c r="F3" s="500" t="s">
        <v>390</v>
      </c>
      <c r="G3" s="496"/>
      <c r="H3" s="499"/>
      <c r="I3" s="496"/>
    </row>
    <row r="4" spans="1:14" ht="15.95" customHeight="1" thickBot="1">
      <c r="A4" s="498">
        <v>438</v>
      </c>
      <c r="B4" s="496" t="s">
        <v>372</v>
      </c>
      <c r="C4" s="497"/>
      <c r="D4" s="496"/>
      <c r="F4" s="498" t="s">
        <v>391</v>
      </c>
      <c r="G4" s="496"/>
      <c r="H4" s="497"/>
      <c r="I4" s="496"/>
      <c r="J4" s="803"/>
      <c r="K4" s="799">
        <v>312</v>
      </c>
      <c r="L4" s="502" t="s">
        <v>172</v>
      </c>
      <c r="M4" s="501" t="s">
        <v>396</v>
      </c>
      <c r="N4" s="502" t="s">
        <v>397</v>
      </c>
    </row>
    <row r="5" spans="1:14" ht="15.95" customHeight="1" thickBot="1">
      <c r="A5" s="504"/>
      <c r="B5" s="804"/>
      <c r="C5" s="504"/>
      <c r="D5" s="504"/>
      <c r="F5" s="504"/>
      <c r="G5" s="804"/>
      <c r="H5" s="504"/>
      <c r="J5" s="803"/>
      <c r="K5" s="801">
        <v>6.9</v>
      </c>
      <c r="L5" s="503">
        <f>K5*0.357</f>
        <v>2.4632999999999998</v>
      </c>
      <c r="M5" s="802">
        <f>L5+4.5</f>
        <v>6.9633000000000003</v>
      </c>
      <c r="N5" s="503">
        <f>L5-4.5</f>
        <v>-2.0367000000000002</v>
      </c>
    </row>
    <row r="6" spans="1:14" ht="15.95" customHeight="1" thickBot="1">
      <c r="A6" s="495" t="s">
        <v>373</v>
      </c>
      <c r="B6" s="505" t="s">
        <v>369</v>
      </c>
      <c r="C6" s="506" t="s">
        <v>370</v>
      </c>
      <c r="D6" s="505" t="s">
        <v>392</v>
      </c>
      <c r="F6" s="495" t="s">
        <v>382</v>
      </c>
      <c r="G6" s="505" t="s">
        <v>369</v>
      </c>
      <c r="H6" s="506" t="s">
        <v>370</v>
      </c>
      <c r="I6" s="505" t="s">
        <v>392</v>
      </c>
    </row>
    <row r="7" spans="1:14" ht="15.95" customHeight="1" thickBot="1">
      <c r="A7" s="498">
        <v>303</v>
      </c>
      <c r="B7" s="496">
        <v>3</v>
      </c>
      <c r="C7" s="499">
        <v>193</v>
      </c>
      <c r="D7" s="496">
        <v>90</v>
      </c>
      <c r="F7" s="498">
        <v>595</v>
      </c>
      <c r="G7" s="496" t="s">
        <v>372</v>
      </c>
      <c r="H7" s="499" t="s">
        <v>394</v>
      </c>
      <c r="I7" s="496" t="s">
        <v>395</v>
      </c>
      <c r="J7" s="798"/>
      <c r="K7" s="799">
        <v>320</v>
      </c>
      <c r="L7" s="502" t="s">
        <v>172</v>
      </c>
      <c r="M7" s="501" t="s">
        <v>396</v>
      </c>
      <c r="N7" s="502" t="s">
        <v>397</v>
      </c>
    </row>
    <row r="8" spans="1:14" ht="15.95" customHeight="1" thickBot="1">
      <c r="A8" s="500">
        <v>312</v>
      </c>
      <c r="B8" s="496">
        <v>3</v>
      </c>
      <c r="C8" s="499">
        <v>201.25</v>
      </c>
      <c r="D8" s="496">
        <v>90</v>
      </c>
      <c r="F8" s="500">
        <v>609</v>
      </c>
      <c r="G8" s="496" t="s">
        <v>372</v>
      </c>
      <c r="H8" s="499" t="s">
        <v>394</v>
      </c>
      <c r="I8" s="496" t="s">
        <v>395</v>
      </c>
      <c r="J8" s="798"/>
      <c r="K8" s="801"/>
      <c r="L8" s="503">
        <f>K8*0.366</f>
        <v>0</v>
      </c>
      <c r="M8" s="802">
        <f>L8+4.5</f>
        <v>4.5</v>
      </c>
      <c r="N8" s="503">
        <f>L8-4.5</f>
        <v>-4.5</v>
      </c>
    </row>
    <row r="9" spans="1:14" ht="15.95" customHeight="1" thickBot="1">
      <c r="A9" s="498">
        <v>320</v>
      </c>
      <c r="B9" s="496">
        <v>3</v>
      </c>
      <c r="C9" s="497">
        <v>202.4</v>
      </c>
      <c r="D9" s="496">
        <v>90</v>
      </c>
      <c r="F9" s="498">
        <v>615</v>
      </c>
      <c r="G9" s="496" t="s">
        <v>372</v>
      </c>
      <c r="H9" s="497" t="s">
        <v>394</v>
      </c>
      <c r="I9" s="496" t="s">
        <v>395</v>
      </c>
    </row>
    <row r="10" spans="1:14" ht="15.95" customHeight="1" thickBot="1">
      <c r="A10" s="504"/>
      <c r="B10" s="804"/>
      <c r="C10" s="504"/>
      <c r="D10" s="504"/>
      <c r="F10" s="504"/>
      <c r="G10" s="804"/>
      <c r="H10" s="504"/>
    </row>
    <row r="11" spans="1:14" ht="15.95" customHeight="1" thickBot="1">
      <c r="A11" s="495" t="s">
        <v>374</v>
      </c>
      <c r="B11" s="505" t="s">
        <v>369</v>
      </c>
      <c r="C11" s="506" t="s">
        <v>370</v>
      </c>
      <c r="D11" s="505" t="s">
        <v>392</v>
      </c>
      <c r="F11" s="495" t="s">
        <v>383</v>
      </c>
      <c r="G11" s="505" t="s">
        <v>369</v>
      </c>
      <c r="H11" s="506" t="s">
        <v>370</v>
      </c>
      <c r="I11" s="505" t="s">
        <v>392</v>
      </c>
    </row>
    <row r="12" spans="1:14" ht="15.95" customHeight="1" thickBot="1">
      <c r="A12" s="498">
        <v>439</v>
      </c>
      <c r="B12" s="496"/>
      <c r="C12" s="499"/>
      <c r="D12" s="496"/>
      <c r="F12" s="498">
        <v>472</v>
      </c>
      <c r="G12" s="496"/>
      <c r="H12" s="499"/>
      <c r="I12" s="496"/>
    </row>
    <row r="13" spans="1:14" ht="15.95" customHeight="1" thickBot="1">
      <c r="A13" s="500">
        <v>444</v>
      </c>
      <c r="B13" s="496">
        <v>2</v>
      </c>
      <c r="C13" s="499">
        <v>178</v>
      </c>
      <c r="D13" s="496"/>
      <c r="F13" s="500">
        <v>477</v>
      </c>
      <c r="G13" s="496">
        <v>2</v>
      </c>
      <c r="H13" s="499">
        <v>68</v>
      </c>
      <c r="I13" s="496"/>
    </row>
    <row r="14" spans="1:14" ht="15.95" customHeight="1" thickBot="1">
      <c r="A14" s="498">
        <v>448</v>
      </c>
      <c r="B14" s="496">
        <v>2</v>
      </c>
      <c r="C14" s="499">
        <v>168</v>
      </c>
      <c r="D14" s="496"/>
      <c r="F14" s="498">
        <v>480</v>
      </c>
      <c r="G14" s="496"/>
      <c r="H14" s="497"/>
      <c r="I14" s="496"/>
    </row>
    <row r="15" spans="1:14" ht="15.95" customHeight="1" thickBot="1">
      <c r="A15" s="504"/>
      <c r="B15" s="804"/>
      <c r="C15" s="504"/>
      <c r="D15" s="504"/>
      <c r="F15" s="504"/>
      <c r="G15" s="804"/>
      <c r="H15" s="504"/>
    </row>
    <row r="16" spans="1:14" ht="15.95" customHeight="1" thickBot="1">
      <c r="A16" s="495" t="s">
        <v>375</v>
      </c>
      <c r="B16" s="505" t="s">
        <v>369</v>
      </c>
      <c r="C16" s="506" t="s">
        <v>370</v>
      </c>
      <c r="D16" s="505" t="s">
        <v>393</v>
      </c>
      <c r="F16" s="495" t="s">
        <v>384</v>
      </c>
      <c r="G16" s="505" t="s">
        <v>369</v>
      </c>
      <c r="H16" s="506" t="s">
        <v>370</v>
      </c>
      <c r="I16" s="505" t="s">
        <v>392</v>
      </c>
    </row>
    <row r="17" spans="1:9" ht="15.95" customHeight="1" thickBot="1">
      <c r="A17" s="498">
        <v>457</v>
      </c>
      <c r="B17" s="496"/>
      <c r="C17" s="499"/>
      <c r="D17" s="496"/>
      <c r="F17" s="498">
        <v>240</v>
      </c>
      <c r="G17" s="496">
        <v>2</v>
      </c>
      <c r="H17" s="499">
        <v>93</v>
      </c>
      <c r="I17" s="496">
        <v>89</v>
      </c>
    </row>
    <row r="18" spans="1:9" ht="15.95" customHeight="1" thickBot="1">
      <c r="A18" s="500">
        <v>461</v>
      </c>
      <c r="B18" s="496"/>
      <c r="C18" s="499"/>
      <c r="D18" s="496"/>
      <c r="F18" s="500">
        <v>241</v>
      </c>
      <c r="G18" s="496">
        <v>2</v>
      </c>
      <c r="H18" s="805">
        <v>98</v>
      </c>
      <c r="I18" s="496">
        <v>89</v>
      </c>
    </row>
    <row r="19" spans="1:9" ht="15.95" customHeight="1" thickBot="1">
      <c r="A19" s="498">
        <v>484</v>
      </c>
      <c r="B19" s="496"/>
      <c r="C19" s="497"/>
      <c r="D19" s="496"/>
      <c r="F19" s="498">
        <v>251</v>
      </c>
      <c r="G19" s="496">
        <v>2</v>
      </c>
      <c r="H19" s="805">
        <v>97</v>
      </c>
      <c r="I19" s="496">
        <v>89</v>
      </c>
    </row>
    <row r="20" spans="1:9" ht="15.95" customHeight="1" thickBot="1">
      <c r="A20" s="504"/>
      <c r="B20" s="804"/>
      <c r="C20" s="504"/>
      <c r="D20" s="504"/>
      <c r="F20" s="504"/>
      <c r="G20" s="804"/>
      <c r="H20" s="504"/>
    </row>
    <row r="21" spans="1:9" ht="15.95" customHeight="1" thickBot="1">
      <c r="A21" s="495" t="s">
        <v>376</v>
      </c>
      <c r="B21" s="505" t="s">
        <v>369</v>
      </c>
      <c r="C21" s="506" t="s">
        <v>370</v>
      </c>
      <c r="D21" s="505" t="s">
        <v>392</v>
      </c>
      <c r="F21" s="495" t="s">
        <v>385</v>
      </c>
      <c r="G21" s="505" t="s">
        <v>369</v>
      </c>
      <c r="H21" s="506" t="s">
        <v>370</v>
      </c>
      <c r="I21" s="505" t="s">
        <v>392</v>
      </c>
    </row>
    <row r="22" spans="1:9" ht="15.95" customHeight="1" thickBot="1">
      <c r="A22" s="498">
        <v>477</v>
      </c>
      <c r="B22" s="496">
        <v>2</v>
      </c>
      <c r="C22" s="499">
        <v>110</v>
      </c>
      <c r="D22" s="496">
        <v>45</v>
      </c>
      <c r="F22" s="498">
        <v>350</v>
      </c>
      <c r="G22" s="496"/>
      <c r="H22" s="499"/>
      <c r="I22" s="496"/>
    </row>
    <row r="23" spans="1:9" ht="15.95" customHeight="1" thickBot="1">
      <c r="A23" s="500">
        <v>449</v>
      </c>
      <c r="B23" s="496">
        <v>2</v>
      </c>
      <c r="C23" s="499">
        <v>96</v>
      </c>
      <c r="D23" s="496">
        <v>46</v>
      </c>
      <c r="F23" s="500">
        <v>397</v>
      </c>
      <c r="G23" s="496"/>
      <c r="H23" s="499"/>
      <c r="I23" s="496"/>
    </row>
    <row r="24" spans="1:9" ht="15.95" customHeight="1" thickBot="1">
      <c r="A24" s="498">
        <v>508</v>
      </c>
      <c r="B24" s="496"/>
      <c r="C24" s="497"/>
      <c r="D24" s="496"/>
      <c r="F24" s="498">
        <v>402</v>
      </c>
      <c r="G24" s="496">
        <v>3</v>
      </c>
      <c r="H24" s="497">
        <v>12</v>
      </c>
      <c r="I24" s="496"/>
    </row>
    <row r="25" spans="1:9" ht="15.95" customHeight="1" thickBot="1">
      <c r="A25" s="504"/>
      <c r="B25" s="804"/>
      <c r="C25" s="504"/>
      <c r="D25" s="504"/>
      <c r="F25" s="504"/>
      <c r="G25" s="804"/>
      <c r="H25" s="504"/>
    </row>
    <row r="26" spans="1:9" ht="15.95" customHeight="1" thickBot="1">
      <c r="A26" s="495" t="s">
        <v>377</v>
      </c>
      <c r="B26" s="505" t="s">
        <v>369</v>
      </c>
      <c r="C26" s="506" t="s">
        <v>370</v>
      </c>
      <c r="D26" s="505" t="s">
        <v>392</v>
      </c>
      <c r="F26" s="495" t="s">
        <v>386</v>
      </c>
      <c r="G26" s="505" t="s">
        <v>369</v>
      </c>
      <c r="H26" s="506" t="s">
        <v>370</v>
      </c>
      <c r="I26" s="505" t="s">
        <v>392</v>
      </c>
    </row>
    <row r="27" spans="1:9" ht="15.95" customHeight="1" thickBot="1">
      <c r="A27" s="498">
        <v>417</v>
      </c>
      <c r="B27" s="496"/>
      <c r="C27" s="499"/>
      <c r="D27" s="496"/>
      <c r="F27" s="498">
        <v>428</v>
      </c>
      <c r="G27" s="496"/>
      <c r="H27" s="499"/>
      <c r="I27" s="496"/>
    </row>
    <row r="28" spans="1:9" ht="15.95" customHeight="1" thickBot="1">
      <c r="A28" s="500">
        <v>444</v>
      </c>
      <c r="B28" s="496"/>
      <c r="C28" s="499"/>
      <c r="D28" s="496"/>
      <c r="F28" s="500">
        <v>448</v>
      </c>
      <c r="G28" s="496"/>
      <c r="H28" s="499"/>
      <c r="I28" s="496"/>
    </row>
    <row r="29" spans="1:9" ht="15.95" customHeight="1" thickBot="1">
      <c r="A29" s="498">
        <v>455</v>
      </c>
      <c r="B29" s="496"/>
      <c r="C29" s="497"/>
      <c r="D29" s="496"/>
      <c r="F29" s="498">
        <v>455</v>
      </c>
      <c r="G29" s="496"/>
      <c r="H29" s="497"/>
      <c r="I29" s="496"/>
    </row>
    <row r="30" spans="1:9" ht="15.95" customHeight="1" thickBot="1">
      <c r="A30" s="504"/>
      <c r="B30" s="804"/>
      <c r="C30" s="504"/>
      <c r="D30" s="504"/>
      <c r="F30" s="504"/>
      <c r="G30" s="804"/>
      <c r="H30" s="504"/>
    </row>
    <row r="31" spans="1:9" ht="15.95" customHeight="1" thickBot="1">
      <c r="A31" s="495" t="s">
        <v>378</v>
      </c>
      <c r="B31" s="505" t="s">
        <v>369</v>
      </c>
      <c r="C31" s="506" t="s">
        <v>370</v>
      </c>
      <c r="D31" s="505" t="s">
        <v>392</v>
      </c>
      <c r="F31" s="495" t="s">
        <v>387</v>
      </c>
      <c r="G31" s="505" t="s">
        <v>369</v>
      </c>
      <c r="H31" s="506" t="s">
        <v>370</v>
      </c>
      <c r="I31" s="505" t="s">
        <v>392</v>
      </c>
    </row>
    <row r="32" spans="1:9" ht="15.95" customHeight="1" thickBot="1">
      <c r="A32" s="498">
        <v>244</v>
      </c>
      <c r="B32" s="496">
        <v>2</v>
      </c>
      <c r="C32" s="499">
        <v>38</v>
      </c>
      <c r="D32" s="496">
        <v>85</v>
      </c>
      <c r="F32" s="498">
        <v>253</v>
      </c>
      <c r="G32" s="496">
        <v>2</v>
      </c>
      <c r="H32" s="499">
        <v>45</v>
      </c>
      <c r="I32" s="496">
        <v>64.599999999999994</v>
      </c>
    </row>
    <row r="33" spans="1:9" ht="15.95" customHeight="1" thickBot="1">
      <c r="A33" s="500">
        <v>256</v>
      </c>
      <c r="B33" s="496">
        <v>2</v>
      </c>
      <c r="C33" s="499">
        <v>38</v>
      </c>
      <c r="D33" s="496">
        <v>85</v>
      </c>
      <c r="F33" s="500">
        <v>264</v>
      </c>
      <c r="G33" s="496">
        <v>2</v>
      </c>
      <c r="H33" s="499">
        <v>55</v>
      </c>
      <c r="I33" s="496">
        <v>62</v>
      </c>
    </row>
    <row r="34" spans="1:9" ht="15.95" customHeight="1" thickBot="1">
      <c r="A34" s="498">
        <v>258</v>
      </c>
      <c r="B34" s="496">
        <v>2</v>
      </c>
      <c r="C34" s="497">
        <v>36</v>
      </c>
      <c r="D34" s="496">
        <v>85</v>
      </c>
      <c r="F34" s="498">
        <v>270</v>
      </c>
      <c r="G34" s="496">
        <v>2</v>
      </c>
      <c r="H34" s="497">
        <v>44.55</v>
      </c>
      <c r="I34" s="496">
        <v>85</v>
      </c>
    </row>
    <row r="35" spans="1:9" ht="15.95" customHeight="1" thickBot="1">
      <c r="A35" s="504"/>
      <c r="B35" s="804"/>
      <c r="C35" s="504"/>
      <c r="D35" s="504"/>
      <c r="F35" s="504"/>
      <c r="G35" s="804"/>
      <c r="H35" s="504"/>
    </row>
    <row r="36" spans="1:9" ht="15.95" customHeight="1" thickBot="1">
      <c r="A36" s="495" t="s">
        <v>379</v>
      </c>
      <c r="B36" s="505" t="s">
        <v>369</v>
      </c>
      <c r="C36" s="506" t="s">
        <v>370</v>
      </c>
      <c r="D36" s="505" t="s">
        <v>392</v>
      </c>
      <c r="F36" s="495" t="s">
        <v>388</v>
      </c>
      <c r="G36" s="505" t="s">
        <v>369</v>
      </c>
      <c r="H36" s="506" t="s">
        <v>370</v>
      </c>
      <c r="I36" s="505" t="s">
        <v>392</v>
      </c>
    </row>
    <row r="37" spans="1:9" ht="15.95" customHeight="1" thickBot="1">
      <c r="A37" s="498">
        <v>412</v>
      </c>
      <c r="B37" s="496">
        <v>17</v>
      </c>
      <c r="C37" s="499"/>
      <c r="D37" s="496"/>
      <c r="F37" s="498">
        <v>484</v>
      </c>
      <c r="G37" s="496"/>
      <c r="H37" s="499"/>
      <c r="I37" s="496"/>
    </row>
    <row r="38" spans="1:9" ht="15.95" customHeight="1" thickBot="1">
      <c r="A38" s="500">
        <v>425</v>
      </c>
      <c r="B38" s="496"/>
      <c r="C38" s="499"/>
      <c r="D38" s="496"/>
      <c r="F38" s="500">
        <v>504</v>
      </c>
      <c r="G38" s="496"/>
      <c r="H38" s="499"/>
      <c r="I38" s="496"/>
    </row>
    <row r="39" spans="1:9" ht="15.95" customHeight="1" thickBot="1">
      <c r="A39" s="498">
        <v>452</v>
      </c>
      <c r="B39" s="496"/>
      <c r="C39" s="497"/>
      <c r="D39" s="496"/>
      <c r="F39" s="498">
        <v>509</v>
      </c>
      <c r="G39" s="496"/>
      <c r="H39" s="497"/>
      <c r="I39" s="496"/>
    </row>
    <row r="40" spans="1:9" ht="15.95" customHeight="1" thickBot="1">
      <c r="A40" s="504"/>
      <c r="B40" s="804"/>
      <c r="C40" s="504"/>
      <c r="D40" s="504"/>
      <c r="F40" s="504"/>
      <c r="G40" s="804"/>
      <c r="H40" s="504"/>
    </row>
    <row r="41" spans="1:9" ht="15.95" customHeight="1" thickBot="1">
      <c r="A41" s="495" t="s">
        <v>380</v>
      </c>
      <c r="B41" s="505" t="s">
        <v>369</v>
      </c>
      <c r="C41" s="506" t="s">
        <v>370</v>
      </c>
      <c r="D41" s="505" t="s">
        <v>392</v>
      </c>
      <c r="F41" s="495" t="s">
        <v>389</v>
      </c>
      <c r="G41" s="505" t="s">
        <v>369</v>
      </c>
      <c r="H41" s="506" t="s">
        <v>370</v>
      </c>
      <c r="I41" s="505" t="s">
        <v>392</v>
      </c>
    </row>
    <row r="42" spans="1:9" ht="15.95" customHeight="1" thickBot="1">
      <c r="A42" s="498">
        <v>514</v>
      </c>
      <c r="B42" s="496"/>
      <c r="C42" s="499"/>
      <c r="D42" s="496"/>
      <c r="F42" s="498">
        <v>393</v>
      </c>
      <c r="G42" s="496"/>
      <c r="H42" s="499"/>
      <c r="I42" s="496"/>
    </row>
    <row r="43" spans="1:9" ht="15.95" customHeight="1" thickBot="1">
      <c r="A43" s="500">
        <v>517</v>
      </c>
      <c r="B43" s="496"/>
      <c r="C43" s="499"/>
      <c r="D43" s="496"/>
      <c r="F43" s="500">
        <v>407</v>
      </c>
      <c r="G43" s="496"/>
      <c r="H43" s="499"/>
      <c r="I43" s="496"/>
    </row>
    <row r="44" spans="1:9" ht="15.95" customHeight="1" thickBot="1">
      <c r="A44" s="498">
        <v>520</v>
      </c>
      <c r="B44" s="496"/>
      <c r="C44" s="497"/>
      <c r="D44" s="496"/>
      <c r="F44" s="498">
        <v>419</v>
      </c>
      <c r="G44" s="496"/>
      <c r="H44" s="497"/>
      <c r="I44" s="496"/>
    </row>
  </sheetData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V156"/>
  <sheetViews>
    <sheetView topLeftCell="A81" workbookViewId="0">
      <selection activeCell="S92" sqref="S92"/>
    </sheetView>
  </sheetViews>
  <sheetFormatPr defaultRowHeight="12.75"/>
  <cols>
    <col min="1" max="1" width="9.28515625" bestFit="1" customWidth="1"/>
    <col min="4" max="4" width="14.140625" customWidth="1"/>
  </cols>
  <sheetData>
    <row r="1" spans="14:22" ht="13.5" thickBot="1">
      <c r="N1" s="178">
        <v>3.5</v>
      </c>
      <c r="O1" s="997" t="s">
        <v>233</v>
      </c>
      <c r="P1" s="998"/>
      <c r="Q1" s="998"/>
      <c r="R1" s="998"/>
      <c r="S1" s="998"/>
      <c r="T1" s="999"/>
    </row>
    <row r="2" spans="14:22">
      <c r="O2" s="174" t="s">
        <v>234</v>
      </c>
      <c r="P2" s="175" t="s">
        <v>235</v>
      </c>
      <c r="Q2" s="175" t="s">
        <v>19</v>
      </c>
      <c r="R2" s="175" t="s">
        <v>236</v>
      </c>
      <c r="S2" s="175"/>
      <c r="T2" s="176"/>
    </row>
    <row r="3" spans="14:22">
      <c r="O3" s="177">
        <v>81</v>
      </c>
      <c r="P3" s="177">
        <f t="shared" ref="P3:P31" si="0">P4-20/48</f>
        <v>67.499999999999858</v>
      </c>
      <c r="Q3" s="177">
        <f t="shared" ref="Q3:Q34" si="1">POWER(P3*0.01,$N$1)+R3</f>
        <v>0.39351211847965051</v>
      </c>
      <c r="R3" s="177">
        <f t="shared" ref="R3:R32" si="2">R4-($R$81-$R$33)/48</f>
        <v>0.14083657708806988</v>
      </c>
      <c r="S3" s="177">
        <v>81</v>
      </c>
      <c r="T3" s="177">
        <f t="shared" ref="T3:T31" si="3">T4-20/48</f>
        <v>67.499999999999858</v>
      </c>
      <c r="U3" s="177">
        <f t="shared" ref="U3:U34" si="4">POWER(T3*0.01,$N$1)+V3</f>
        <v>0.39351211847965051</v>
      </c>
      <c r="V3" s="177">
        <f t="shared" ref="V3:V32" si="5">V4-($R$81-$R$33)/48</f>
        <v>0.14083657708806988</v>
      </c>
    </row>
    <row r="4" spans="14:22">
      <c r="O4" s="177">
        <f>O3+1</f>
        <v>82</v>
      </c>
      <c r="P4" s="177">
        <f t="shared" si="0"/>
        <v>67.916666666666529</v>
      </c>
      <c r="Q4" s="177">
        <f t="shared" si="1"/>
        <v>0.39772063365009153</v>
      </c>
      <c r="R4" s="177">
        <f t="shared" si="2"/>
        <v>0.13954380045873566</v>
      </c>
      <c r="S4" s="177">
        <f>S3+1</f>
        <v>82</v>
      </c>
      <c r="T4" s="177">
        <f t="shared" si="3"/>
        <v>67.916666666666529</v>
      </c>
      <c r="U4" s="177">
        <f t="shared" si="4"/>
        <v>0.39772063365009153</v>
      </c>
      <c r="V4" s="177">
        <f t="shared" si="5"/>
        <v>0.13954380045873566</v>
      </c>
    </row>
    <row r="5" spans="14:22">
      <c r="O5" s="177">
        <f t="shared" ref="O5:O68" si="6">O4+1</f>
        <v>83</v>
      </c>
      <c r="P5" s="177">
        <f t="shared" si="0"/>
        <v>68.333333333333201</v>
      </c>
      <c r="Q5" s="177">
        <f t="shared" si="1"/>
        <v>0.40201417470048806</v>
      </c>
      <c r="R5" s="177">
        <f t="shared" si="2"/>
        <v>0.13825102382940144</v>
      </c>
      <c r="S5" s="177">
        <f t="shared" ref="S5:S68" si="7">S4+1</f>
        <v>83</v>
      </c>
      <c r="T5" s="177">
        <f t="shared" si="3"/>
        <v>68.333333333333201</v>
      </c>
      <c r="U5" s="177">
        <f t="shared" si="4"/>
        <v>0.40201417470048806</v>
      </c>
      <c r="V5" s="177">
        <f t="shared" si="5"/>
        <v>0.13825102382940144</v>
      </c>
    </row>
    <row r="6" spans="14:22">
      <c r="O6" s="177">
        <f t="shared" si="6"/>
        <v>84</v>
      </c>
      <c r="P6" s="177">
        <f t="shared" si="0"/>
        <v>68.749999999999872</v>
      </c>
      <c r="Q6" s="177">
        <f t="shared" si="1"/>
        <v>0.40639352527398143</v>
      </c>
      <c r="R6" s="177">
        <f t="shared" si="2"/>
        <v>0.13695824720006722</v>
      </c>
      <c r="S6" s="177">
        <f t="shared" si="7"/>
        <v>84</v>
      </c>
      <c r="T6" s="177">
        <f t="shared" si="3"/>
        <v>68.749999999999872</v>
      </c>
      <c r="U6" s="177">
        <f t="shared" si="4"/>
        <v>0.40639352527398143</v>
      </c>
      <c r="V6" s="177">
        <f t="shared" si="5"/>
        <v>0.13695824720006722</v>
      </c>
    </row>
    <row r="7" spans="14:22">
      <c r="O7" s="177">
        <f t="shared" si="6"/>
        <v>85</v>
      </c>
      <c r="P7" s="177">
        <f t="shared" si="0"/>
        <v>69.166666666666544</v>
      </c>
      <c r="Q7" s="177">
        <f t="shared" si="1"/>
        <v>0.41085947140653278</v>
      </c>
      <c r="R7" s="177">
        <f t="shared" si="2"/>
        <v>0.135665470570733</v>
      </c>
      <c r="S7" s="177">
        <f t="shared" si="7"/>
        <v>85</v>
      </c>
      <c r="T7" s="177">
        <f t="shared" si="3"/>
        <v>69.166666666666544</v>
      </c>
      <c r="U7" s="177">
        <f t="shared" si="4"/>
        <v>0.41085947140653278</v>
      </c>
      <c r="V7" s="177">
        <f t="shared" si="5"/>
        <v>0.135665470570733</v>
      </c>
    </row>
    <row r="8" spans="14:22">
      <c r="O8" s="177">
        <f t="shared" si="6"/>
        <v>86</v>
      </c>
      <c r="P8" s="177">
        <f t="shared" si="0"/>
        <v>69.583333333333215</v>
      </c>
      <c r="Q8" s="177">
        <f t="shared" si="1"/>
        <v>0.41541280151966231</v>
      </c>
      <c r="R8" s="177">
        <f t="shared" si="2"/>
        <v>0.13437269394139878</v>
      </c>
      <c r="S8" s="177">
        <f t="shared" si="7"/>
        <v>86</v>
      </c>
      <c r="T8" s="177">
        <f t="shared" si="3"/>
        <v>69.583333333333215</v>
      </c>
      <c r="U8" s="177">
        <f t="shared" si="4"/>
        <v>0.41541280151966231</v>
      </c>
      <c r="V8" s="177">
        <f t="shared" si="5"/>
        <v>0.13437269394139878</v>
      </c>
    </row>
    <row r="9" spans="14:22">
      <c r="O9" s="177">
        <f t="shared" si="6"/>
        <v>87</v>
      </c>
      <c r="P9" s="177">
        <f t="shared" si="0"/>
        <v>69.999999999999886</v>
      </c>
      <c r="Q9" s="177">
        <f t="shared" si="1"/>
        <v>0.42005430641325092</v>
      </c>
      <c r="R9" s="177">
        <f t="shared" si="2"/>
        <v>0.13307991731206456</v>
      </c>
      <c r="S9" s="177">
        <f t="shared" si="7"/>
        <v>87</v>
      </c>
      <c r="T9" s="177">
        <f t="shared" si="3"/>
        <v>69.999999999999886</v>
      </c>
      <c r="U9" s="177">
        <f t="shared" si="4"/>
        <v>0.42005430641325092</v>
      </c>
      <c r="V9" s="177">
        <f t="shared" si="5"/>
        <v>0.13307991731206456</v>
      </c>
    </row>
    <row r="10" spans="14:22">
      <c r="O10" s="177">
        <f t="shared" si="6"/>
        <v>88</v>
      </c>
      <c r="P10" s="177">
        <f t="shared" si="0"/>
        <v>70.416666666666558</v>
      </c>
      <c r="Q10" s="177">
        <f t="shared" si="1"/>
        <v>0.42478477925840996</v>
      </c>
      <c r="R10" s="177">
        <f t="shared" si="2"/>
        <v>0.13178714068273034</v>
      </c>
      <c r="S10" s="177">
        <f t="shared" si="7"/>
        <v>88</v>
      </c>
      <c r="T10" s="177">
        <f t="shared" si="3"/>
        <v>70.416666666666558</v>
      </c>
      <c r="U10" s="177">
        <f t="shared" si="4"/>
        <v>0.42478477925840996</v>
      </c>
      <c r="V10" s="177">
        <f t="shared" si="5"/>
        <v>0.13178714068273034</v>
      </c>
    </row>
    <row r="11" spans="14:22">
      <c r="O11" s="177">
        <f t="shared" si="6"/>
        <v>89</v>
      </c>
      <c r="P11" s="177">
        <f t="shared" si="0"/>
        <v>70.833333333333229</v>
      </c>
      <c r="Q11" s="177">
        <f t="shared" si="1"/>
        <v>0.42960501559041286</v>
      </c>
      <c r="R11" s="177">
        <f t="shared" si="2"/>
        <v>0.13049436405339612</v>
      </c>
      <c r="S11" s="177">
        <f t="shared" si="7"/>
        <v>89</v>
      </c>
      <c r="T11" s="177">
        <f t="shared" si="3"/>
        <v>70.833333333333229</v>
      </c>
      <c r="U11" s="177">
        <f t="shared" si="4"/>
        <v>0.42960501559041286</v>
      </c>
      <c r="V11" s="177">
        <f t="shared" si="5"/>
        <v>0.13049436405339612</v>
      </c>
    </row>
    <row r="12" spans="14:22">
      <c r="O12" s="177">
        <f t="shared" si="6"/>
        <v>90</v>
      </c>
      <c r="P12" s="177">
        <f t="shared" si="0"/>
        <v>71.249999999999901</v>
      </c>
      <c r="Q12" s="177">
        <f t="shared" si="1"/>
        <v>0.43451581330169015</v>
      </c>
      <c r="R12" s="177">
        <f t="shared" si="2"/>
        <v>0.1292015874240619</v>
      </c>
      <c r="S12" s="177">
        <f t="shared" si="7"/>
        <v>90</v>
      </c>
      <c r="T12" s="177">
        <f t="shared" si="3"/>
        <v>71.249999999999901</v>
      </c>
      <c r="U12" s="177">
        <f t="shared" si="4"/>
        <v>0.43451581330169015</v>
      </c>
      <c r="V12" s="177">
        <f t="shared" si="5"/>
        <v>0.1292015874240619</v>
      </c>
    </row>
    <row r="13" spans="14:22">
      <c r="O13" s="177">
        <f t="shared" si="6"/>
        <v>91</v>
      </c>
      <c r="P13" s="177">
        <f t="shared" si="0"/>
        <v>71.666666666666572</v>
      </c>
      <c r="Q13" s="177">
        <f t="shared" si="1"/>
        <v>0.43951797263488612</v>
      </c>
      <c r="R13" s="177">
        <f t="shared" si="2"/>
        <v>0.12790881079472768</v>
      </c>
      <c r="S13" s="177">
        <f t="shared" si="7"/>
        <v>91</v>
      </c>
      <c r="T13" s="177">
        <f t="shared" si="3"/>
        <v>71.666666666666572</v>
      </c>
      <c r="U13" s="177">
        <f t="shared" si="4"/>
        <v>0.43951797263488612</v>
      </c>
      <c r="V13" s="177">
        <f t="shared" si="5"/>
        <v>0.12790881079472768</v>
      </c>
    </row>
    <row r="14" spans="14:22">
      <c r="O14" s="177">
        <f t="shared" si="6"/>
        <v>92</v>
      </c>
      <c r="P14" s="177">
        <f t="shared" si="0"/>
        <v>72.083333333333243</v>
      </c>
      <c r="Q14" s="177">
        <f t="shared" si="1"/>
        <v>0.44461229617597675</v>
      </c>
      <c r="R14" s="177">
        <f t="shared" si="2"/>
        <v>0.12661603416539347</v>
      </c>
      <c r="S14" s="177">
        <f t="shared" si="7"/>
        <v>92</v>
      </c>
      <c r="T14" s="177">
        <f t="shared" si="3"/>
        <v>72.083333333333243</v>
      </c>
      <c r="U14" s="177">
        <f t="shared" si="4"/>
        <v>0.44461229617597675</v>
      </c>
      <c r="V14" s="177">
        <f t="shared" si="5"/>
        <v>0.12661603416539347</v>
      </c>
    </row>
    <row r="15" spans="14:22">
      <c r="O15" s="177">
        <f t="shared" si="6"/>
        <v>93</v>
      </c>
      <c r="P15" s="177">
        <f t="shared" si="0"/>
        <v>72.499999999999915</v>
      </c>
      <c r="Q15" s="177">
        <f t="shared" si="1"/>
        <v>0.44979958884744786</v>
      </c>
      <c r="R15" s="177">
        <f t="shared" si="2"/>
        <v>0.12532325753605925</v>
      </c>
      <c r="S15" s="177">
        <f t="shared" si="7"/>
        <v>93</v>
      </c>
      <c r="T15" s="177">
        <f t="shared" si="3"/>
        <v>72.499999999999915</v>
      </c>
      <c r="U15" s="177">
        <f t="shared" si="4"/>
        <v>0.44979958884744786</v>
      </c>
      <c r="V15" s="177">
        <f t="shared" si="5"/>
        <v>0.12532325753605925</v>
      </c>
    </row>
    <row r="16" spans="14:22">
      <c r="O16" s="177">
        <f t="shared" si="6"/>
        <v>94</v>
      </c>
      <c r="P16" s="177">
        <f t="shared" si="0"/>
        <v>72.916666666666586</v>
      </c>
      <c r="Q16" s="177">
        <f t="shared" si="1"/>
        <v>0.45508065790153185</v>
      </c>
      <c r="R16" s="177">
        <f t="shared" si="2"/>
        <v>0.12403048090672501</v>
      </c>
      <c r="S16" s="177">
        <f t="shared" si="7"/>
        <v>94</v>
      </c>
      <c r="T16" s="177">
        <f t="shared" si="3"/>
        <v>72.916666666666586</v>
      </c>
      <c r="U16" s="177">
        <f t="shared" si="4"/>
        <v>0.45508065790153185</v>
      </c>
      <c r="V16" s="177">
        <f t="shared" si="5"/>
        <v>0.12403048090672501</v>
      </c>
    </row>
    <row r="17" spans="15:22">
      <c r="O17" s="177">
        <f t="shared" si="6"/>
        <v>95</v>
      </c>
      <c r="P17" s="177">
        <f t="shared" si="0"/>
        <v>73.333333333333258</v>
      </c>
      <c r="Q17" s="177">
        <f t="shared" si="1"/>
        <v>0.46045631291350397</v>
      </c>
      <c r="R17" s="177">
        <f t="shared" si="2"/>
        <v>0.12273770427739078</v>
      </c>
      <c r="S17" s="177">
        <f t="shared" si="7"/>
        <v>95</v>
      </c>
      <c r="T17" s="177">
        <f t="shared" si="3"/>
        <v>73.333333333333258</v>
      </c>
      <c r="U17" s="177">
        <f t="shared" si="4"/>
        <v>0.46045631291350397</v>
      </c>
      <c r="V17" s="177">
        <f t="shared" si="5"/>
        <v>0.12273770427739078</v>
      </c>
    </row>
    <row r="18" spans="15:22">
      <c r="O18" s="177">
        <f t="shared" si="6"/>
        <v>96</v>
      </c>
      <c r="P18" s="177">
        <f t="shared" si="0"/>
        <v>73.749999999999929</v>
      </c>
      <c r="Q18" s="177">
        <f t="shared" si="1"/>
        <v>0.46592736577503441</v>
      </c>
      <c r="R18" s="177">
        <f t="shared" si="2"/>
        <v>0.12144492764805655</v>
      </c>
      <c r="S18" s="177">
        <f t="shared" si="7"/>
        <v>96</v>
      </c>
      <c r="T18" s="177">
        <f t="shared" si="3"/>
        <v>73.749999999999929</v>
      </c>
      <c r="U18" s="177">
        <f t="shared" si="4"/>
        <v>0.46592736577503441</v>
      </c>
      <c r="V18" s="177">
        <f t="shared" si="5"/>
        <v>0.12144492764805655</v>
      </c>
    </row>
    <row r="19" spans="15:22">
      <c r="O19" s="177">
        <f t="shared" si="6"/>
        <v>97</v>
      </c>
      <c r="P19" s="177">
        <f t="shared" si="0"/>
        <v>74.1666666666666</v>
      </c>
      <c r="Q19" s="177">
        <f t="shared" si="1"/>
        <v>0.47149463068759945</v>
      </c>
      <c r="R19" s="177">
        <f t="shared" si="2"/>
        <v>0.12015215101872231</v>
      </c>
      <c r="S19" s="177">
        <f t="shared" si="7"/>
        <v>97</v>
      </c>
      <c r="T19" s="177">
        <f t="shared" si="3"/>
        <v>74.1666666666666</v>
      </c>
      <c r="U19" s="177">
        <f t="shared" si="4"/>
        <v>0.47149463068759945</v>
      </c>
      <c r="V19" s="177">
        <f t="shared" si="5"/>
        <v>0.12015215101872231</v>
      </c>
    </row>
    <row r="20" spans="15:22">
      <c r="O20" s="177">
        <f t="shared" si="6"/>
        <v>98</v>
      </c>
      <c r="P20" s="177">
        <f t="shared" si="0"/>
        <v>74.583333333333272</v>
      </c>
      <c r="Q20" s="177">
        <f t="shared" si="1"/>
        <v>0.4771589241559458</v>
      </c>
      <c r="R20" s="177">
        <f t="shared" si="2"/>
        <v>0.11885937438938808</v>
      </c>
      <c r="S20" s="177">
        <f t="shared" si="7"/>
        <v>98</v>
      </c>
      <c r="T20" s="177">
        <f t="shared" si="3"/>
        <v>74.583333333333272</v>
      </c>
      <c r="U20" s="177">
        <f t="shared" si="4"/>
        <v>0.4771589241559458</v>
      </c>
      <c r="V20" s="177">
        <f t="shared" si="5"/>
        <v>0.11885937438938808</v>
      </c>
    </row>
    <row r="21" spans="15:22">
      <c r="O21" s="177">
        <f t="shared" si="6"/>
        <v>99</v>
      </c>
      <c r="P21" s="177">
        <f t="shared" si="0"/>
        <v>74.999999999999943</v>
      </c>
      <c r="Q21" s="177">
        <f t="shared" si="1"/>
        <v>0.48292106498161297</v>
      </c>
      <c r="R21" s="177">
        <f t="shared" si="2"/>
        <v>0.11756659776005385</v>
      </c>
      <c r="S21" s="177">
        <f t="shared" si="7"/>
        <v>99</v>
      </c>
      <c r="T21" s="177">
        <f t="shared" si="3"/>
        <v>74.999999999999943</v>
      </c>
      <c r="U21" s="177">
        <f t="shared" si="4"/>
        <v>0.48292106498161297</v>
      </c>
      <c r="V21" s="177">
        <f t="shared" si="5"/>
        <v>0.11756659776005385</v>
      </c>
    </row>
    <row r="22" spans="15:22">
      <c r="O22" s="177">
        <f t="shared" si="6"/>
        <v>100</v>
      </c>
      <c r="P22" s="177">
        <f t="shared" si="0"/>
        <v>75.416666666666615</v>
      </c>
      <c r="Q22" s="177">
        <f t="shared" si="1"/>
        <v>0.48878187425650721</v>
      </c>
      <c r="R22" s="177">
        <f t="shared" si="2"/>
        <v>0.11627382113071962</v>
      </c>
      <c r="S22" s="177">
        <f t="shared" si="7"/>
        <v>100</v>
      </c>
      <c r="T22" s="177">
        <f t="shared" si="3"/>
        <v>75.416666666666615</v>
      </c>
      <c r="U22" s="177">
        <f t="shared" si="4"/>
        <v>0.48878187425650721</v>
      </c>
      <c r="V22" s="177">
        <f t="shared" si="5"/>
        <v>0.11627382113071962</v>
      </c>
    </row>
    <row r="23" spans="15:22">
      <c r="O23" s="177">
        <f t="shared" si="6"/>
        <v>101</v>
      </c>
      <c r="P23" s="177">
        <f t="shared" si="0"/>
        <v>75.833333333333286</v>
      </c>
      <c r="Q23" s="177">
        <f t="shared" si="1"/>
        <v>0.49474217535653131</v>
      </c>
      <c r="R23" s="177">
        <f t="shared" si="2"/>
        <v>0.11498104450138538</v>
      </c>
      <c r="S23" s="177">
        <f t="shared" si="7"/>
        <v>101</v>
      </c>
      <c r="T23" s="177">
        <f t="shared" si="3"/>
        <v>75.833333333333286</v>
      </c>
      <c r="U23" s="177">
        <f t="shared" si="4"/>
        <v>0.49474217535653131</v>
      </c>
      <c r="V23" s="177">
        <f t="shared" si="5"/>
        <v>0.11498104450138538</v>
      </c>
    </row>
    <row r="24" spans="15:22">
      <c r="O24" s="177">
        <f t="shared" si="6"/>
        <v>102</v>
      </c>
      <c r="P24" s="177">
        <f t="shared" si="0"/>
        <v>76.249999999999957</v>
      </c>
      <c r="Q24" s="177">
        <f t="shared" si="1"/>
        <v>0.50080279393526639</v>
      </c>
      <c r="R24" s="177">
        <f t="shared" si="2"/>
        <v>0.11368826787205115</v>
      </c>
      <c r="S24" s="177">
        <f t="shared" si="7"/>
        <v>102</v>
      </c>
      <c r="T24" s="177">
        <f t="shared" si="3"/>
        <v>76.249999999999957</v>
      </c>
      <c r="U24" s="177">
        <f t="shared" si="4"/>
        <v>0.50080279393526639</v>
      </c>
      <c r="V24" s="177">
        <f t="shared" si="5"/>
        <v>0.11368826787205115</v>
      </c>
    </row>
    <row r="25" spans="15:22">
      <c r="O25" s="177">
        <f t="shared" si="6"/>
        <v>103</v>
      </c>
      <c r="P25" s="177">
        <f t="shared" si="0"/>
        <v>76.666666666666629</v>
      </c>
      <c r="Q25" s="177">
        <f t="shared" si="1"/>
        <v>0.50696455791770512</v>
      </c>
      <c r="R25" s="177">
        <f t="shared" si="2"/>
        <v>0.11239549124271692</v>
      </c>
      <c r="S25" s="177">
        <f t="shared" si="7"/>
        <v>103</v>
      </c>
      <c r="T25" s="177">
        <f t="shared" si="3"/>
        <v>76.666666666666629</v>
      </c>
      <c r="U25" s="177">
        <f t="shared" si="4"/>
        <v>0.50696455791770512</v>
      </c>
      <c r="V25" s="177">
        <f t="shared" si="5"/>
        <v>0.11239549124271692</v>
      </c>
    </row>
    <row r="26" spans="15:22">
      <c r="O26" s="177">
        <f t="shared" si="6"/>
        <v>104</v>
      </c>
      <c r="P26" s="177">
        <f t="shared" si="0"/>
        <v>77.0833333333333</v>
      </c>
      <c r="Q26" s="177">
        <f t="shared" si="1"/>
        <v>0.51322829749403798</v>
      </c>
      <c r="R26" s="177">
        <f t="shared" si="2"/>
        <v>0.11110271461338268</v>
      </c>
      <c r="S26" s="177">
        <f t="shared" si="7"/>
        <v>104</v>
      </c>
      <c r="T26" s="177">
        <f t="shared" si="3"/>
        <v>77.0833333333333</v>
      </c>
      <c r="U26" s="177">
        <f t="shared" si="4"/>
        <v>0.51322829749403798</v>
      </c>
      <c r="V26" s="177">
        <f t="shared" si="5"/>
        <v>0.11110271461338268</v>
      </c>
    </row>
    <row r="27" spans="15:22">
      <c r="O27" s="177">
        <f t="shared" si="6"/>
        <v>105</v>
      </c>
      <c r="P27" s="177">
        <f t="shared" si="0"/>
        <v>77.499999999999972</v>
      </c>
      <c r="Q27" s="177">
        <f t="shared" si="1"/>
        <v>0.51959484511348808</v>
      </c>
      <c r="R27" s="177">
        <f t="shared" si="2"/>
        <v>0.10980993798404845</v>
      </c>
      <c r="S27" s="177">
        <f t="shared" si="7"/>
        <v>105</v>
      </c>
      <c r="T27" s="177">
        <f t="shared" si="3"/>
        <v>77.499999999999972</v>
      </c>
      <c r="U27" s="177">
        <f t="shared" si="4"/>
        <v>0.51959484511348808</v>
      </c>
      <c r="V27" s="177">
        <f t="shared" si="5"/>
        <v>0.10980993798404845</v>
      </c>
    </row>
    <row r="28" spans="15:22">
      <c r="O28" s="177">
        <f t="shared" si="6"/>
        <v>106</v>
      </c>
      <c r="P28" s="177">
        <f t="shared" si="0"/>
        <v>77.916666666666643</v>
      </c>
      <c r="Q28" s="177">
        <f t="shared" si="1"/>
        <v>0.52606503547819949</v>
      </c>
      <c r="R28" s="177">
        <f t="shared" si="2"/>
        <v>0.10851716135471422</v>
      </c>
      <c r="S28" s="177">
        <f t="shared" si="7"/>
        <v>106</v>
      </c>
      <c r="T28" s="177">
        <f t="shared" si="3"/>
        <v>77.916666666666643</v>
      </c>
      <c r="U28" s="177">
        <f t="shared" si="4"/>
        <v>0.52606503547819949</v>
      </c>
      <c r="V28" s="177">
        <f t="shared" si="5"/>
        <v>0.10851716135471422</v>
      </c>
    </row>
    <row r="29" spans="15:22">
      <c r="O29" s="177">
        <f t="shared" si="6"/>
        <v>107</v>
      </c>
      <c r="P29" s="177">
        <f t="shared" si="0"/>
        <v>78.333333333333314</v>
      </c>
      <c r="Q29" s="177">
        <f t="shared" si="1"/>
        <v>0.53263970553717022</v>
      </c>
      <c r="R29" s="177">
        <f t="shared" si="2"/>
        <v>0.10722438472537998</v>
      </c>
      <c r="S29" s="177">
        <f t="shared" si="7"/>
        <v>107</v>
      </c>
      <c r="T29" s="177">
        <f t="shared" si="3"/>
        <v>78.333333333333314</v>
      </c>
      <c r="U29" s="177">
        <f t="shared" si="4"/>
        <v>0.53263970553717022</v>
      </c>
      <c r="V29" s="177">
        <f t="shared" si="5"/>
        <v>0.10722438472537998</v>
      </c>
    </row>
    <row r="30" spans="15:22">
      <c r="O30" s="177">
        <f t="shared" si="6"/>
        <v>108</v>
      </c>
      <c r="P30" s="177">
        <f t="shared" si="0"/>
        <v>78.749999999999986</v>
      </c>
      <c r="Q30" s="177">
        <f t="shared" si="1"/>
        <v>0.53931969448023775</v>
      </c>
      <c r="R30" s="177">
        <f t="shared" si="2"/>
        <v>0.10593160809604575</v>
      </c>
      <c r="S30" s="177">
        <f t="shared" si="7"/>
        <v>108</v>
      </c>
      <c r="T30" s="177">
        <f t="shared" si="3"/>
        <v>78.749999999999986</v>
      </c>
      <c r="U30" s="177">
        <f t="shared" si="4"/>
        <v>0.53931969448023775</v>
      </c>
      <c r="V30" s="177">
        <f t="shared" si="5"/>
        <v>0.10593160809604575</v>
      </c>
    </row>
    <row r="31" spans="15:22">
      <c r="O31" s="177">
        <f t="shared" si="6"/>
        <v>109</v>
      </c>
      <c r="P31" s="177">
        <f t="shared" si="0"/>
        <v>79.166666666666657</v>
      </c>
      <c r="Q31" s="177">
        <f t="shared" si="1"/>
        <v>0.54610584373211202</v>
      </c>
      <c r="R31" s="177">
        <f t="shared" si="2"/>
        <v>0.10463883146671152</v>
      </c>
      <c r="S31" s="177">
        <f t="shared" si="7"/>
        <v>109</v>
      </c>
      <c r="T31" s="177">
        <f t="shared" si="3"/>
        <v>79.166666666666657</v>
      </c>
      <c r="U31" s="177">
        <f t="shared" si="4"/>
        <v>0.54610584373211202</v>
      </c>
      <c r="V31" s="177">
        <f t="shared" si="5"/>
        <v>0.10463883146671152</v>
      </c>
    </row>
    <row r="32" spans="15:22">
      <c r="O32" s="177">
        <f t="shared" si="6"/>
        <v>110</v>
      </c>
      <c r="P32" s="177">
        <f>P33-20/48</f>
        <v>79.583333333333329</v>
      </c>
      <c r="Q32" s="177">
        <f t="shared" si="1"/>
        <v>0.55299899694645305</v>
      </c>
      <c r="R32" s="177">
        <f t="shared" si="2"/>
        <v>0.10334605483737729</v>
      </c>
      <c r="S32" s="177">
        <f t="shared" si="7"/>
        <v>110</v>
      </c>
      <c r="T32" s="177">
        <f>T33-20/48</f>
        <v>79.583333333333329</v>
      </c>
      <c r="U32" s="177">
        <f t="shared" si="4"/>
        <v>0.55299899694645305</v>
      </c>
      <c r="V32" s="177">
        <f t="shared" si="5"/>
        <v>0.10334605483737729</v>
      </c>
    </row>
    <row r="33" spans="15:22">
      <c r="O33" s="179">
        <f t="shared" si="6"/>
        <v>111</v>
      </c>
      <c r="P33" s="179">
        <v>80</v>
      </c>
      <c r="Q33" s="179">
        <f t="shared" si="1"/>
        <v>0.56000000000000005</v>
      </c>
      <c r="R33" s="179">
        <f>0.56-(POWER(P33*0.01,$N$1))</f>
        <v>0.10205327820804305</v>
      </c>
      <c r="S33" s="179">
        <f t="shared" si="7"/>
        <v>111</v>
      </c>
      <c r="T33" s="179">
        <v>80</v>
      </c>
      <c r="U33" s="179">
        <f t="shared" si="4"/>
        <v>0.56000000000000005</v>
      </c>
      <c r="V33" s="179">
        <f>0.56-(POWER(T33*0.01,$N$1))</f>
        <v>0.10205327820804305</v>
      </c>
    </row>
    <row r="34" spans="15:22">
      <c r="O34" s="177">
        <f t="shared" si="6"/>
        <v>112</v>
      </c>
      <c r="P34" s="177">
        <f>P33+20/48</f>
        <v>80.416666666666671</v>
      </c>
      <c r="Q34" s="177">
        <f t="shared" si="1"/>
        <v>0.56710970098674163</v>
      </c>
      <c r="R34" s="177">
        <f t="shared" ref="R34:R80" si="8">R33+($R$81-$R$33)/48</f>
        <v>0.10076050157870882</v>
      </c>
      <c r="S34" s="177">
        <f t="shared" si="7"/>
        <v>112</v>
      </c>
      <c r="T34" s="177">
        <f>T33+20/48</f>
        <v>80.416666666666671</v>
      </c>
      <c r="U34" s="177">
        <f t="shared" si="4"/>
        <v>0.56710970098674163</v>
      </c>
      <c r="V34" s="177">
        <f t="shared" ref="V34:V80" si="9">V33+($R$81-$R$33)/48</f>
        <v>0.10076050157870882</v>
      </c>
    </row>
    <row r="35" spans="15:22">
      <c r="O35" s="177">
        <f t="shared" si="6"/>
        <v>113</v>
      </c>
      <c r="P35" s="177">
        <f t="shared" ref="P35:P80" si="10">P34+20/48</f>
        <v>80.833333333333343</v>
      </c>
      <c r="Q35" s="177">
        <f t="shared" ref="Q35:Q66" si="11">POWER(P35*0.01,$N$1)+R35</f>
        <v>0.57432895021213626</v>
      </c>
      <c r="R35" s="177">
        <f t="shared" si="8"/>
        <v>9.9467724949374586E-2</v>
      </c>
      <c r="S35" s="177">
        <f t="shared" si="7"/>
        <v>113</v>
      </c>
      <c r="T35" s="177">
        <f t="shared" ref="T35:T80" si="12">T34+20/48</f>
        <v>80.833333333333343</v>
      </c>
      <c r="U35" s="177">
        <f t="shared" ref="U35:U66" si="13">POWER(T35*0.01,$N$1)+V35</f>
        <v>0.57432895021213626</v>
      </c>
      <c r="V35" s="177">
        <f t="shared" si="9"/>
        <v>9.9467724949374586E-2</v>
      </c>
    </row>
    <row r="36" spans="15:22">
      <c r="O36" s="177">
        <f t="shared" si="6"/>
        <v>114</v>
      </c>
      <c r="P36" s="177">
        <f t="shared" si="10"/>
        <v>81.250000000000014</v>
      </c>
      <c r="Q36" s="177">
        <f t="shared" si="11"/>
        <v>0.58165860018737359</v>
      </c>
      <c r="R36" s="177">
        <f t="shared" si="8"/>
        <v>9.8174948320040353E-2</v>
      </c>
      <c r="S36" s="177">
        <f t="shared" si="7"/>
        <v>114</v>
      </c>
      <c r="T36" s="177">
        <f t="shared" si="12"/>
        <v>81.250000000000014</v>
      </c>
      <c r="U36" s="177">
        <f t="shared" si="13"/>
        <v>0.58165860018737359</v>
      </c>
      <c r="V36" s="177">
        <f t="shared" si="9"/>
        <v>9.8174948320040353E-2</v>
      </c>
    </row>
    <row r="37" spans="15:22">
      <c r="O37" s="177">
        <f t="shared" si="6"/>
        <v>115</v>
      </c>
      <c r="P37" s="177">
        <f t="shared" si="10"/>
        <v>81.666666666666686</v>
      </c>
      <c r="Q37" s="177">
        <f t="shared" si="11"/>
        <v>0.58909950562368407</v>
      </c>
      <c r="R37" s="177">
        <f t="shared" si="8"/>
        <v>9.688217169070612E-2</v>
      </c>
      <c r="S37" s="177">
        <f t="shared" si="7"/>
        <v>115</v>
      </c>
      <c r="T37" s="177">
        <f t="shared" si="12"/>
        <v>81.666666666666686</v>
      </c>
      <c r="U37" s="177">
        <f t="shared" si="13"/>
        <v>0.58909950562368407</v>
      </c>
      <c r="V37" s="177">
        <f t="shared" si="9"/>
        <v>9.688217169070612E-2</v>
      </c>
    </row>
    <row r="38" spans="15:22">
      <c r="O38" s="177">
        <f t="shared" si="6"/>
        <v>116</v>
      </c>
      <c r="P38" s="177">
        <f t="shared" si="10"/>
        <v>82.083333333333357</v>
      </c>
      <c r="Q38" s="177">
        <f t="shared" si="11"/>
        <v>0.59665252342668895</v>
      </c>
      <c r="R38" s="177">
        <f t="shared" si="8"/>
        <v>9.5589395061371887E-2</v>
      </c>
      <c r="S38" s="177">
        <f t="shared" si="7"/>
        <v>116</v>
      </c>
      <c r="T38" s="177">
        <f t="shared" si="12"/>
        <v>82.083333333333357</v>
      </c>
      <c r="U38" s="177">
        <f t="shared" si="13"/>
        <v>0.59665252342668895</v>
      </c>
      <c r="V38" s="177">
        <f t="shared" si="9"/>
        <v>9.5589395061371887E-2</v>
      </c>
    </row>
    <row r="39" spans="15:22">
      <c r="O39" s="177">
        <f t="shared" si="6"/>
        <v>117</v>
      </c>
      <c r="P39" s="177">
        <f t="shared" si="10"/>
        <v>82.500000000000028</v>
      </c>
      <c r="Q39" s="177">
        <f t="shared" si="11"/>
        <v>0.60431851269079562</v>
      </c>
      <c r="R39" s="177">
        <f t="shared" si="8"/>
        <v>9.4296618432037654E-2</v>
      </c>
      <c r="S39" s="177">
        <f t="shared" si="7"/>
        <v>117</v>
      </c>
      <c r="T39" s="177">
        <f t="shared" si="12"/>
        <v>82.500000000000028</v>
      </c>
      <c r="U39" s="177">
        <f t="shared" si="13"/>
        <v>0.60431851269079562</v>
      </c>
      <c r="V39" s="177">
        <f t="shared" si="9"/>
        <v>9.4296618432037654E-2</v>
      </c>
    </row>
    <row r="40" spans="15:22">
      <c r="O40" s="177">
        <f t="shared" si="6"/>
        <v>118</v>
      </c>
      <c r="P40" s="177">
        <f t="shared" si="10"/>
        <v>82.9166666666667</v>
      </c>
      <c r="Q40" s="177">
        <f t="shared" si="11"/>
        <v>0.61209833469363573</v>
      </c>
      <c r="R40" s="177">
        <f t="shared" si="8"/>
        <v>9.3003841802703421E-2</v>
      </c>
      <c r="S40" s="177">
        <f t="shared" si="7"/>
        <v>118</v>
      </c>
      <c r="T40" s="177">
        <f t="shared" si="12"/>
        <v>82.9166666666667</v>
      </c>
      <c r="U40" s="177">
        <f t="shared" si="13"/>
        <v>0.61209833469363573</v>
      </c>
      <c r="V40" s="177">
        <f t="shared" si="9"/>
        <v>9.3003841802703421E-2</v>
      </c>
    </row>
    <row r="41" spans="15:22">
      <c r="O41" s="177">
        <f t="shared" si="6"/>
        <v>119</v>
      </c>
      <c r="P41" s="177">
        <f t="shared" si="10"/>
        <v>83.333333333333371</v>
      </c>
      <c r="Q41" s="177">
        <f t="shared" si="11"/>
        <v>0.61999285289054407</v>
      </c>
      <c r="R41" s="177">
        <f t="shared" si="8"/>
        <v>9.1711065173369188E-2</v>
      </c>
      <c r="S41" s="177">
        <f t="shared" si="7"/>
        <v>119</v>
      </c>
      <c r="T41" s="177">
        <f t="shared" si="12"/>
        <v>83.333333333333371</v>
      </c>
      <c r="U41" s="177">
        <f t="shared" si="13"/>
        <v>0.61999285289054407</v>
      </c>
      <c r="V41" s="177">
        <f t="shared" si="9"/>
        <v>9.1711065173369188E-2</v>
      </c>
    </row>
    <row r="42" spans="15:22">
      <c r="O42" s="177">
        <f t="shared" si="6"/>
        <v>120</v>
      </c>
      <c r="P42" s="177">
        <f t="shared" si="10"/>
        <v>83.750000000000043</v>
      </c>
      <c r="Q42" s="177">
        <f t="shared" si="11"/>
        <v>0.62800293290908105</v>
      </c>
      <c r="R42" s="177">
        <f t="shared" si="8"/>
        <v>9.0418288544034955E-2</v>
      </c>
      <c r="S42" s="177">
        <f t="shared" si="7"/>
        <v>120</v>
      </c>
      <c r="T42" s="177">
        <f t="shared" si="12"/>
        <v>83.750000000000043</v>
      </c>
      <c r="U42" s="177">
        <f t="shared" si="13"/>
        <v>0.62800293290908105</v>
      </c>
      <c r="V42" s="177">
        <f t="shared" si="9"/>
        <v>9.0418288544034955E-2</v>
      </c>
    </row>
    <row r="43" spans="15:22">
      <c r="O43" s="177">
        <f t="shared" si="6"/>
        <v>121</v>
      </c>
      <c r="P43" s="177">
        <f t="shared" si="10"/>
        <v>84.166666666666714</v>
      </c>
      <c r="Q43" s="177">
        <f t="shared" si="11"/>
        <v>0.63612944254359349</v>
      </c>
      <c r="R43" s="177">
        <f t="shared" si="8"/>
        <v>8.9125511914700722E-2</v>
      </c>
      <c r="S43" s="177">
        <f t="shared" si="7"/>
        <v>121</v>
      </c>
      <c r="T43" s="177">
        <f t="shared" si="12"/>
        <v>84.166666666666714</v>
      </c>
      <c r="U43" s="177">
        <f t="shared" si="13"/>
        <v>0.63612944254359349</v>
      </c>
      <c r="V43" s="177">
        <f t="shared" si="9"/>
        <v>8.9125511914700722E-2</v>
      </c>
    </row>
    <row r="44" spans="15:22">
      <c r="O44" s="177">
        <f t="shared" si="6"/>
        <v>122</v>
      </c>
      <c r="P44" s="177">
        <f t="shared" si="10"/>
        <v>84.583333333333385</v>
      </c>
      <c r="Q44" s="177">
        <f t="shared" si="11"/>
        <v>0.64437325174982019</v>
      </c>
      <c r="R44" s="177">
        <f t="shared" si="8"/>
        <v>8.7832735285366489E-2</v>
      </c>
      <c r="S44" s="177">
        <f t="shared" si="7"/>
        <v>122</v>
      </c>
      <c r="T44" s="177">
        <f t="shared" si="12"/>
        <v>84.583333333333385</v>
      </c>
      <c r="U44" s="177">
        <f t="shared" si="13"/>
        <v>0.64437325174982019</v>
      </c>
      <c r="V44" s="177">
        <f t="shared" si="9"/>
        <v>8.7832735285366489E-2</v>
      </c>
    </row>
    <row r="45" spans="15:22">
      <c r="O45" s="177">
        <f t="shared" si="6"/>
        <v>123</v>
      </c>
      <c r="P45" s="177">
        <f t="shared" si="10"/>
        <v>85.000000000000057</v>
      </c>
      <c r="Q45" s="177">
        <f t="shared" si="11"/>
        <v>0.65273523263953293</v>
      </c>
      <c r="R45" s="177">
        <f t="shared" si="8"/>
        <v>8.6539958656032256E-2</v>
      </c>
      <c r="S45" s="177">
        <f t="shared" si="7"/>
        <v>123</v>
      </c>
      <c r="T45" s="177">
        <f t="shared" si="12"/>
        <v>85.000000000000057</v>
      </c>
      <c r="U45" s="177">
        <f t="shared" si="13"/>
        <v>0.65273523263953293</v>
      </c>
      <c r="V45" s="177">
        <f t="shared" si="9"/>
        <v>8.6539958656032256E-2</v>
      </c>
    </row>
    <row r="46" spans="15:22">
      <c r="O46" s="177">
        <f t="shared" si="6"/>
        <v>124</v>
      </c>
      <c r="P46" s="177">
        <f t="shared" si="10"/>
        <v>85.416666666666728</v>
      </c>
      <c r="Q46" s="177">
        <f t="shared" si="11"/>
        <v>0.66121625947522156</v>
      </c>
      <c r="R46" s="177">
        <f t="shared" si="8"/>
        <v>8.5247182026698023E-2</v>
      </c>
      <c r="S46" s="177">
        <f t="shared" si="7"/>
        <v>124</v>
      </c>
      <c r="T46" s="177">
        <f t="shared" si="12"/>
        <v>85.416666666666728</v>
      </c>
      <c r="U46" s="177">
        <f t="shared" si="13"/>
        <v>0.66121625947522156</v>
      </c>
      <c r="V46" s="177">
        <f t="shared" si="9"/>
        <v>8.5247182026698023E-2</v>
      </c>
    </row>
    <row r="47" spans="15:22">
      <c r="O47" s="177">
        <f t="shared" si="6"/>
        <v>125</v>
      </c>
      <c r="P47" s="177">
        <f t="shared" si="10"/>
        <v>85.8333333333334</v>
      </c>
      <c r="Q47" s="177">
        <f t="shared" si="11"/>
        <v>0.6698172086648142</v>
      </c>
      <c r="R47" s="177">
        <f t="shared" si="8"/>
        <v>8.395440539736379E-2</v>
      </c>
      <c r="S47" s="177">
        <f t="shared" si="7"/>
        <v>125</v>
      </c>
      <c r="T47" s="177">
        <f t="shared" si="12"/>
        <v>85.8333333333334</v>
      </c>
      <c r="U47" s="177">
        <f t="shared" si="13"/>
        <v>0.6698172086648142</v>
      </c>
      <c r="V47" s="177">
        <f t="shared" si="9"/>
        <v>8.395440539736379E-2</v>
      </c>
    </row>
    <row r="48" spans="15:22">
      <c r="O48" s="177">
        <f t="shared" si="6"/>
        <v>126</v>
      </c>
      <c r="P48" s="177">
        <f t="shared" si="10"/>
        <v>86.250000000000071</v>
      </c>
      <c r="Q48" s="177">
        <f t="shared" si="11"/>
        <v>0.67853895875643877</v>
      </c>
      <c r="R48" s="177">
        <f t="shared" si="8"/>
        <v>8.2661628768029558E-2</v>
      </c>
      <c r="S48" s="177">
        <f t="shared" si="7"/>
        <v>126</v>
      </c>
      <c r="T48" s="177">
        <f t="shared" si="12"/>
        <v>86.250000000000071</v>
      </c>
      <c r="U48" s="177">
        <f t="shared" si="13"/>
        <v>0.67853895875643877</v>
      </c>
      <c r="V48" s="177">
        <f t="shared" si="9"/>
        <v>8.2661628768029558E-2</v>
      </c>
    </row>
    <row r="49" spans="15:22">
      <c r="O49" s="177">
        <f t="shared" si="6"/>
        <v>127</v>
      </c>
      <c r="P49" s="177">
        <f t="shared" si="10"/>
        <v>86.666666666666742</v>
      </c>
      <c r="Q49" s="177">
        <f t="shared" si="11"/>
        <v>0.68738239043322302</v>
      </c>
      <c r="R49" s="177">
        <f t="shared" si="8"/>
        <v>8.1368852138695325E-2</v>
      </c>
      <c r="S49" s="177">
        <f t="shared" si="7"/>
        <v>127</v>
      </c>
      <c r="T49" s="177">
        <f t="shared" si="12"/>
        <v>86.666666666666742</v>
      </c>
      <c r="U49" s="177">
        <f t="shared" si="13"/>
        <v>0.68738239043322302</v>
      </c>
      <c r="V49" s="177">
        <f t="shared" si="9"/>
        <v>8.1368852138695325E-2</v>
      </c>
    </row>
    <row r="50" spans="15:22">
      <c r="O50" s="177">
        <f t="shared" si="6"/>
        <v>128</v>
      </c>
      <c r="P50" s="177">
        <f t="shared" si="10"/>
        <v>87.083333333333414</v>
      </c>
      <c r="Q50" s="177">
        <f t="shared" si="11"/>
        <v>0.6963483865081288</v>
      </c>
      <c r="R50" s="177">
        <f t="shared" si="8"/>
        <v>8.0076075509361092E-2</v>
      </c>
      <c r="S50" s="177">
        <f t="shared" si="7"/>
        <v>128</v>
      </c>
      <c r="T50" s="177">
        <f t="shared" si="12"/>
        <v>87.083333333333414</v>
      </c>
      <c r="U50" s="177">
        <f t="shared" si="13"/>
        <v>0.6963483865081288</v>
      </c>
      <c r="V50" s="177">
        <f t="shared" si="9"/>
        <v>8.0076075509361092E-2</v>
      </c>
    </row>
    <row r="51" spans="15:22">
      <c r="O51" s="177">
        <f t="shared" si="6"/>
        <v>129</v>
      </c>
      <c r="P51" s="177">
        <f t="shared" si="10"/>
        <v>87.500000000000085</v>
      </c>
      <c r="Q51" s="177">
        <f t="shared" si="11"/>
        <v>0.70543783191882892</v>
      </c>
      <c r="R51" s="177">
        <f t="shared" si="8"/>
        <v>7.8783298880026859E-2</v>
      </c>
      <c r="S51" s="177">
        <f t="shared" si="7"/>
        <v>129</v>
      </c>
      <c r="T51" s="177">
        <f t="shared" si="12"/>
        <v>87.500000000000085</v>
      </c>
      <c r="U51" s="177">
        <f t="shared" si="13"/>
        <v>0.70543783191882892</v>
      </c>
      <c r="V51" s="177">
        <f t="shared" si="9"/>
        <v>7.8783298880026859E-2</v>
      </c>
    </row>
    <row r="52" spans="15:22">
      <c r="O52" s="177">
        <f t="shared" si="6"/>
        <v>130</v>
      </c>
      <c r="P52" s="177">
        <f t="shared" si="10"/>
        <v>87.916666666666757</v>
      </c>
      <c r="Q52" s="177">
        <f t="shared" si="11"/>
        <v>0.71465161372261499</v>
      </c>
      <c r="R52" s="177">
        <f t="shared" si="8"/>
        <v>7.7490522250692626E-2</v>
      </c>
      <c r="S52" s="177">
        <f t="shared" si="7"/>
        <v>130</v>
      </c>
      <c r="T52" s="177">
        <f t="shared" si="12"/>
        <v>87.916666666666757</v>
      </c>
      <c r="U52" s="177">
        <f t="shared" si="13"/>
        <v>0.71465161372261499</v>
      </c>
      <c r="V52" s="177">
        <f t="shared" si="9"/>
        <v>7.7490522250692626E-2</v>
      </c>
    </row>
    <row r="53" spans="15:22">
      <c r="O53" s="177">
        <f t="shared" si="6"/>
        <v>131</v>
      </c>
      <c r="P53" s="177">
        <f t="shared" si="10"/>
        <v>88.333333333333428</v>
      </c>
      <c r="Q53" s="177">
        <f t="shared" si="11"/>
        <v>0.72399062109134749</v>
      </c>
      <c r="R53" s="177">
        <f t="shared" si="8"/>
        <v>7.6197745621358393E-2</v>
      </c>
      <c r="S53" s="177">
        <f t="shared" si="7"/>
        <v>131</v>
      </c>
      <c r="T53" s="177">
        <f t="shared" si="12"/>
        <v>88.333333333333428</v>
      </c>
      <c r="U53" s="177">
        <f t="shared" si="13"/>
        <v>0.72399062109134749</v>
      </c>
      <c r="V53" s="177">
        <f t="shared" si="9"/>
        <v>7.6197745621358393E-2</v>
      </c>
    </row>
    <row r="54" spans="15:22">
      <c r="O54" s="177">
        <f t="shared" si="6"/>
        <v>132</v>
      </c>
      <c r="P54" s="177">
        <f t="shared" si="10"/>
        <v>88.750000000000099</v>
      </c>
      <c r="Q54" s="177">
        <f t="shared" si="11"/>
        <v>0.73345574530643687</v>
      </c>
      <c r="R54" s="177">
        <f t="shared" si="8"/>
        <v>7.490496899202416E-2</v>
      </c>
      <c r="S54" s="177">
        <f t="shared" si="7"/>
        <v>132</v>
      </c>
      <c r="T54" s="177">
        <f t="shared" si="12"/>
        <v>88.750000000000099</v>
      </c>
      <c r="U54" s="177">
        <f t="shared" si="13"/>
        <v>0.73345574530643687</v>
      </c>
      <c r="V54" s="177">
        <f t="shared" si="9"/>
        <v>7.490496899202416E-2</v>
      </c>
    </row>
    <row r="55" spans="15:22">
      <c r="O55" s="177">
        <f t="shared" si="6"/>
        <v>133</v>
      </c>
      <c r="P55" s="177">
        <f t="shared" si="10"/>
        <v>89.166666666666771</v>
      </c>
      <c r="Q55" s="177">
        <f t="shared" si="11"/>
        <v>0.74304787975386266</v>
      </c>
      <c r="R55" s="177">
        <f t="shared" si="8"/>
        <v>7.3612192362689927E-2</v>
      </c>
      <c r="S55" s="177">
        <f t="shared" si="7"/>
        <v>133</v>
      </c>
      <c r="T55" s="177">
        <f t="shared" si="12"/>
        <v>89.166666666666771</v>
      </c>
      <c r="U55" s="177">
        <f t="shared" si="13"/>
        <v>0.74304787975386266</v>
      </c>
      <c r="V55" s="177">
        <f t="shared" si="9"/>
        <v>7.3612192362689927E-2</v>
      </c>
    </row>
    <row r="56" spans="15:22">
      <c r="O56" s="177">
        <f t="shared" si="6"/>
        <v>134</v>
      </c>
      <c r="P56" s="177">
        <f t="shared" si="10"/>
        <v>89.583333333333442</v>
      </c>
      <c r="Q56" s="177">
        <f t="shared" si="11"/>
        <v>0.75276791991922865</v>
      </c>
      <c r="R56" s="177">
        <f t="shared" si="8"/>
        <v>7.2319415733355694E-2</v>
      </c>
      <c r="S56" s="177">
        <f t="shared" si="7"/>
        <v>134</v>
      </c>
      <c r="T56" s="177">
        <f t="shared" si="12"/>
        <v>89.583333333333442</v>
      </c>
      <c r="U56" s="177">
        <f t="shared" si="13"/>
        <v>0.75276791991922865</v>
      </c>
      <c r="V56" s="177">
        <f t="shared" si="9"/>
        <v>7.2319415733355694E-2</v>
      </c>
    </row>
    <row r="57" spans="15:22">
      <c r="O57" s="177">
        <f t="shared" si="6"/>
        <v>135</v>
      </c>
      <c r="P57" s="177">
        <f t="shared" si="10"/>
        <v>90.000000000000114</v>
      </c>
      <c r="Q57" s="177">
        <f t="shared" si="11"/>
        <v>0.76261676338284912</v>
      </c>
      <c r="R57" s="177">
        <f t="shared" si="8"/>
        <v>7.1026639104021461E-2</v>
      </c>
      <c r="S57" s="177">
        <f t="shared" si="7"/>
        <v>135</v>
      </c>
      <c r="T57" s="177">
        <f t="shared" si="12"/>
        <v>90.000000000000114</v>
      </c>
      <c r="U57" s="177">
        <f t="shared" si="13"/>
        <v>0.76261676338284912</v>
      </c>
      <c r="V57" s="177">
        <f t="shared" si="9"/>
        <v>7.1026639104021461E-2</v>
      </c>
    </row>
    <row r="58" spans="15:22">
      <c r="O58" s="177">
        <f t="shared" si="6"/>
        <v>136</v>
      </c>
      <c r="P58" s="177">
        <f t="shared" si="10"/>
        <v>90.416666666666785</v>
      </c>
      <c r="Q58" s="177">
        <f t="shared" si="11"/>
        <v>0.77259530981487401</v>
      </c>
      <c r="R58" s="177">
        <f t="shared" si="8"/>
        <v>6.9733862474687228E-2</v>
      </c>
      <c r="S58" s="177">
        <f t="shared" si="7"/>
        <v>136</v>
      </c>
      <c r="T58" s="177">
        <f t="shared" si="12"/>
        <v>90.416666666666785</v>
      </c>
      <c r="U58" s="177">
        <f t="shared" si="13"/>
        <v>0.77259530981487401</v>
      </c>
      <c r="V58" s="177">
        <f t="shared" si="9"/>
        <v>6.9733862474687228E-2</v>
      </c>
    </row>
    <row r="59" spans="15:22">
      <c r="O59" s="177">
        <f t="shared" si="6"/>
        <v>137</v>
      </c>
      <c r="P59" s="177">
        <f t="shared" si="10"/>
        <v>90.833333333333456</v>
      </c>
      <c r="Q59" s="177">
        <f t="shared" si="11"/>
        <v>0.78270446097044377</v>
      </c>
      <c r="R59" s="177">
        <f t="shared" si="8"/>
        <v>6.8441085845352995E-2</v>
      </c>
      <c r="S59" s="177">
        <f t="shared" si="7"/>
        <v>137</v>
      </c>
      <c r="T59" s="177">
        <f t="shared" si="12"/>
        <v>90.833333333333456</v>
      </c>
      <c r="U59" s="177">
        <f t="shared" si="13"/>
        <v>0.78270446097044377</v>
      </c>
      <c r="V59" s="177">
        <f t="shared" si="9"/>
        <v>6.8441085845352995E-2</v>
      </c>
    </row>
    <row r="60" spans="15:22">
      <c r="O60" s="177">
        <f t="shared" si="6"/>
        <v>138</v>
      </c>
      <c r="P60" s="177">
        <f t="shared" si="10"/>
        <v>91.250000000000128</v>
      </c>
      <c r="Q60" s="177">
        <f t="shared" si="11"/>
        <v>0.79294512068488143</v>
      </c>
      <c r="R60" s="177">
        <f t="shared" si="8"/>
        <v>6.7148309216018762E-2</v>
      </c>
      <c r="S60" s="177">
        <f t="shared" si="7"/>
        <v>138</v>
      </c>
      <c r="T60" s="177">
        <f t="shared" si="12"/>
        <v>91.250000000000128</v>
      </c>
      <c r="U60" s="177">
        <f t="shared" si="13"/>
        <v>0.79294512068488143</v>
      </c>
      <c r="V60" s="177">
        <f t="shared" si="9"/>
        <v>6.7148309216018762E-2</v>
      </c>
    </row>
    <row r="61" spans="15:22">
      <c r="O61" s="177">
        <f t="shared" si="6"/>
        <v>139</v>
      </c>
      <c r="P61" s="177">
        <f t="shared" si="10"/>
        <v>91.666666666666799</v>
      </c>
      <c r="Q61" s="177">
        <f t="shared" si="11"/>
        <v>0.80331819486891387</v>
      </c>
      <c r="R61" s="177">
        <f t="shared" si="8"/>
        <v>6.5855532586684529E-2</v>
      </c>
      <c r="S61" s="177">
        <f t="shared" si="7"/>
        <v>139</v>
      </c>
      <c r="T61" s="177">
        <f t="shared" si="12"/>
        <v>91.666666666666799</v>
      </c>
      <c r="U61" s="177">
        <f t="shared" si="13"/>
        <v>0.80331819486891387</v>
      </c>
      <c r="V61" s="177">
        <f t="shared" si="9"/>
        <v>6.5855532586684529E-2</v>
      </c>
    </row>
    <row r="62" spans="15:22">
      <c r="O62" s="177">
        <f t="shared" si="6"/>
        <v>140</v>
      </c>
      <c r="P62" s="177">
        <f t="shared" si="10"/>
        <v>92.083333333333471</v>
      </c>
      <c r="Q62" s="177">
        <f t="shared" si="11"/>
        <v>0.81382459150393049</v>
      </c>
      <c r="R62" s="177">
        <f t="shared" si="8"/>
        <v>6.4562755957350296E-2</v>
      </c>
      <c r="S62" s="177">
        <f t="shared" si="7"/>
        <v>140</v>
      </c>
      <c r="T62" s="177">
        <f t="shared" si="12"/>
        <v>92.083333333333471</v>
      </c>
      <c r="U62" s="177">
        <f t="shared" si="13"/>
        <v>0.81382459150393049</v>
      </c>
      <c r="V62" s="177">
        <f t="shared" si="9"/>
        <v>6.4562755957350296E-2</v>
      </c>
    </row>
    <row r="63" spans="15:22">
      <c r="O63" s="177">
        <f t="shared" si="6"/>
        <v>141</v>
      </c>
      <c r="P63" s="177">
        <f t="shared" si="10"/>
        <v>92.500000000000142</v>
      </c>
      <c r="Q63" s="177">
        <f t="shared" si="11"/>
        <v>0.82446522063726924</v>
      </c>
      <c r="R63" s="177">
        <f t="shared" si="8"/>
        <v>6.3269979328016063E-2</v>
      </c>
      <c r="S63" s="177">
        <f t="shared" si="7"/>
        <v>141</v>
      </c>
      <c r="T63" s="177">
        <f t="shared" si="12"/>
        <v>92.500000000000142</v>
      </c>
      <c r="U63" s="177">
        <f t="shared" si="13"/>
        <v>0.82446522063726924</v>
      </c>
      <c r="V63" s="177">
        <f t="shared" si="9"/>
        <v>6.3269979328016063E-2</v>
      </c>
    </row>
    <row r="64" spans="15:22">
      <c r="O64" s="177">
        <f t="shared" si="6"/>
        <v>142</v>
      </c>
      <c r="P64" s="177">
        <f t="shared" si="10"/>
        <v>92.916666666666814</v>
      </c>
      <c r="Q64" s="177">
        <f t="shared" si="11"/>
        <v>0.83524099437753874</v>
      </c>
      <c r="R64" s="177">
        <f t="shared" si="8"/>
        <v>6.197720269868183E-2</v>
      </c>
      <c r="S64" s="177">
        <f t="shared" si="7"/>
        <v>142</v>
      </c>
      <c r="T64" s="177">
        <f t="shared" si="12"/>
        <v>92.916666666666814</v>
      </c>
      <c r="U64" s="177">
        <f t="shared" si="13"/>
        <v>0.83524099437753874</v>
      </c>
      <c r="V64" s="177">
        <f t="shared" si="9"/>
        <v>6.197720269868183E-2</v>
      </c>
    </row>
    <row r="65" spans="15:22">
      <c r="O65" s="177">
        <f t="shared" si="6"/>
        <v>143</v>
      </c>
      <c r="P65" s="177">
        <f t="shared" si="10"/>
        <v>93.333333333333485</v>
      </c>
      <c r="Q65" s="177">
        <f t="shared" si="11"/>
        <v>0.84615282688997095</v>
      </c>
      <c r="R65" s="177">
        <f t="shared" si="8"/>
        <v>6.0684426069347597E-2</v>
      </c>
      <c r="S65" s="177">
        <f t="shared" si="7"/>
        <v>143</v>
      </c>
      <c r="T65" s="177">
        <f t="shared" si="12"/>
        <v>93.333333333333485</v>
      </c>
      <c r="U65" s="177">
        <f t="shared" si="13"/>
        <v>0.84615282688997095</v>
      </c>
      <c r="V65" s="177">
        <f t="shared" si="9"/>
        <v>6.0684426069347597E-2</v>
      </c>
    </row>
    <row r="66" spans="15:22">
      <c r="O66" s="177">
        <f t="shared" si="6"/>
        <v>144</v>
      </c>
      <c r="P66" s="177">
        <f t="shared" si="10"/>
        <v>93.750000000000156</v>
      </c>
      <c r="Q66" s="177">
        <f t="shared" si="11"/>
        <v>0.85720163439180219</v>
      </c>
      <c r="R66" s="177">
        <f t="shared" si="8"/>
        <v>5.9391649440013364E-2</v>
      </c>
      <c r="S66" s="177">
        <f t="shared" si="7"/>
        <v>144</v>
      </c>
      <c r="T66" s="177">
        <f t="shared" si="12"/>
        <v>93.750000000000156</v>
      </c>
      <c r="U66" s="177">
        <f t="shared" si="13"/>
        <v>0.85720163439180219</v>
      </c>
      <c r="V66" s="177">
        <f t="shared" si="9"/>
        <v>5.9391649440013364E-2</v>
      </c>
    </row>
    <row r="67" spans="15:22">
      <c r="O67" s="177">
        <f t="shared" si="6"/>
        <v>145</v>
      </c>
      <c r="P67" s="177">
        <f t="shared" si="10"/>
        <v>94.166666666666828</v>
      </c>
      <c r="Q67" s="177">
        <f t="shared" ref="Q67:Q98" si="14">POWER(P67*0.01,$N$1)+R67</f>
        <v>0.86838833514769109</v>
      </c>
      <c r="R67" s="177">
        <f t="shared" si="8"/>
        <v>5.8098872810679131E-2</v>
      </c>
      <c r="S67" s="177">
        <f t="shared" si="7"/>
        <v>145</v>
      </c>
      <c r="T67" s="177">
        <f t="shared" si="12"/>
        <v>94.166666666666828</v>
      </c>
      <c r="U67" s="177">
        <f t="shared" ref="U67:U98" si="15">POWER(T67*0.01,$N$1)+V67</f>
        <v>0.86838833514769109</v>
      </c>
      <c r="V67" s="177">
        <f t="shared" si="9"/>
        <v>5.8098872810679131E-2</v>
      </c>
    </row>
    <row r="68" spans="15:22">
      <c r="O68" s="177">
        <f t="shared" si="6"/>
        <v>146</v>
      </c>
      <c r="P68" s="177">
        <f t="shared" si="10"/>
        <v>94.583333333333499</v>
      </c>
      <c r="Q68" s="177">
        <f t="shared" si="14"/>
        <v>0.87971384946516029</v>
      </c>
      <c r="R68" s="177">
        <f t="shared" si="8"/>
        <v>5.6806096181344898E-2</v>
      </c>
      <c r="S68" s="177">
        <f t="shared" si="7"/>
        <v>146</v>
      </c>
      <c r="T68" s="177">
        <f t="shared" si="12"/>
        <v>94.583333333333499</v>
      </c>
      <c r="U68" s="177">
        <f t="shared" si="15"/>
        <v>0.87971384946516029</v>
      </c>
      <c r="V68" s="177">
        <f t="shared" si="9"/>
        <v>5.6806096181344898E-2</v>
      </c>
    </row>
    <row r="69" spans="15:22">
      <c r="O69" s="177">
        <f t="shared" ref="O69:O123" si="16">O68+1</f>
        <v>147</v>
      </c>
      <c r="P69" s="177">
        <f t="shared" si="10"/>
        <v>95.000000000000171</v>
      </c>
      <c r="Q69" s="177">
        <f t="shared" si="14"/>
        <v>0.89117909969007458</v>
      </c>
      <c r="R69" s="177">
        <f t="shared" si="8"/>
        <v>5.5513319552010665E-2</v>
      </c>
      <c r="S69" s="177">
        <f t="shared" ref="S69:S123" si="17">S68+1</f>
        <v>147</v>
      </c>
      <c r="T69" s="177">
        <f t="shared" si="12"/>
        <v>95.000000000000171</v>
      </c>
      <c r="U69" s="177">
        <f t="shared" si="15"/>
        <v>0.89117909969007458</v>
      </c>
      <c r="V69" s="177">
        <f t="shared" si="9"/>
        <v>5.5513319552010665E-2</v>
      </c>
    </row>
    <row r="70" spans="15:22">
      <c r="O70" s="177">
        <f t="shared" si="16"/>
        <v>148</v>
      </c>
      <c r="P70" s="177">
        <f t="shared" si="10"/>
        <v>95.416666666666842</v>
      </c>
      <c r="Q70" s="177">
        <f t="shared" si="14"/>
        <v>0.90278501020214352</v>
      </c>
      <c r="R70" s="177">
        <f t="shared" si="8"/>
        <v>5.4220542922676432E-2</v>
      </c>
      <c r="S70" s="177">
        <f t="shared" si="17"/>
        <v>148</v>
      </c>
      <c r="T70" s="177">
        <f t="shared" si="12"/>
        <v>95.416666666666842</v>
      </c>
      <c r="U70" s="177">
        <f t="shared" si="15"/>
        <v>0.90278501020214352</v>
      </c>
      <c r="V70" s="177">
        <f t="shared" si="9"/>
        <v>5.4220542922676432E-2</v>
      </c>
    </row>
    <row r="71" spans="15:22">
      <c r="O71" s="177">
        <f t="shared" si="16"/>
        <v>149</v>
      </c>
      <c r="P71" s="177">
        <f t="shared" si="10"/>
        <v>95.833333333333513</v>
      </c>
      <c r="Q71" s="177">
        <f t="shared" si="14"/>
        <v>0.91453250741045933</v>
      </c>
      <c r="R71" s="177">
        <f t="shared" si="8"/>
        <v>5.2927766293342199E-2</v>
      </c>
      <c r="S71" s="177">
        <f t="shared" si="17"/>
        <v>149</v>
      </c>
      <c r="T71" s="177">
        <f t="shared" si="12"/>
        <v>95.833333333333513</v>
      </c>
      <c r="U71" s="177">
        <f t="shared" si="15"/>
        <v>0.91453250741045933</v>
      </c>
      <c r="V71" s="177">
        <f t="shared" si="9"/>
        <v>5.2927766293342199E-2</v>
      </c>
    </row>
    <row r="72" spans="15:22">
      <c r="O72" s="177">
        <f t="shared" si="16"/>
        <v>150</v>
      </c>
      <c r="P72" s="177">
        <f t="shared" si="10"/>
        <v>96.250000000000185</v>
      </c>
      <c r="Q72" s="177">
        <f t="shared" si="14"/>
        <v>0.92642251974905787</v>
      </c>
      <c r="R72" s="177">
        <f t="shared" si="8"/>
        <v>5.1634989664007966E-2</v>
      </c>
      <c r="S72" s="177">
        <f t="shared" si="17"/>
        <v>150</v>
      </c>
      <c r="T72" s="177">
        <f t="shared" si="12"/>
        <v>96.250000000000185</v>
      </c>
      <c r="U72" s="177">
        <f t="shared" si="15"/>
        <v>0.92642251974905787</v>
      </c>
      <c r="V72" s="177">
        <f t="shared" si="9"/>
        <v>5.1634989664007966E-2</v>
      </c>
    </row>
    <row r="73" spans="15:22">
      <c r="O73" s="177">
        <f t="shared" si="16"/>
        <v>151</v>
      </c>
      <c r="P73" s="177">
        <f t="shared" si="10"/>
        <v>96.666666666666856</v>
      </c>
      <c r="Q73" s="177">
        <f t="shared" si="14"/>
        <v>0.93845597767251387</v>
      </c>
      <c r="R73" s="177">
        <f t="shared" si="8"/>
        <v>5.0342213034673733E-2</v>
      </c>
      <c r="S73" s="177">
        <f t="shared" si="17"/>
        <v>151</v>
      </c>
      <c r="T73" s="177">
        <f t="shared" si="12"/>
        <v>96.666666666666856</v>
      </c>
      <c r="U73" s="177">
        <f t="shared" si="15"/>
        <v>0.93845597767251387</v>
      </c>
      <c r="V73" s="177">
        <f t="shared" si="9"/>
        <v>5.0342213034673733E-2</v>
      </c>
    </row>
    <row r="74" spans="15:22">
      <c r="O74" s="177">
        <f t="shared" si="16"/>
        <v>152</v>
      </c>
      <c r="P74" s="177">
        <f t="shared" si="10"/>
        <v>97.083333333333528</v>
      </c>
      <c r="Q74" s="177">
        <f t="shared" si="14"/>
        <v>0.95063381365156252</v>
      </c>
      <c r="R74" s="177">
        <f t="shared" si="8"/>
        <v>4.90494364053395E-2</v>
      </c>
      <c r="S74" s="177">
        <f t="shared" si="17"/>
        <v>152</v>
      </c>
      <c r="T74" s="177">
        <f t="shared" si="12"/>
        <v>97.083333333333528</v>
      </c>
      <c r="U74" s="177">
        <f t="shared" si="15"/>
        <v>0.95063381365156252</v>
      </c>
      <c r="V74" s="177">
        <f t="shared" si="9"/>
        <v>4.90494364053395E-2</v>
      </c>
    </row>
    <row r="75" spans="15:22">
      <c r="O75" s="177">
        <f t="shared" si="16"/>
        <v>153</v>
      </c>
      <c r="P75" s="177">
        <f t="shared" si="10"/>
        <v>97.500000000000199</v>
      </c>
      <c r="Q75" s="177">
        <f t="shared" si="14"/>
        <v>0.96295696216874804</v>
      </c>
      <c r="R75" s="177">
        <f t="shared" si="8"/>
        <v>4.7756659776005267E-2</v>
      </c>
      <c r="S75" s="177">
        <f t="shared" si="17"/>
        <v>153</v>
      </c>
      <c r="T75" s="177">
        <f t="shared" si="12"/>
        <v>97.500000000000199</v>
      </c>
      <c r="U75" s="177">
        <f t="shared" si="15"/>
        <v>0.96295696216874804</v>
      </c>
      <c r="V75" s="177">
        <f t="shared" si="9"/>
        <v>4.7756659776005267E-2</v>
      </c>
    </row>
    <row r="76" spans="15:22">
      <c r="O76" s="177">
        <f t="shared" si="16"/>
        <v>154</v>
      </c>
      <c r="P76" s="177">
        <f t="shared" si="10"/>
        <v>97.91666666666687</v>
      </c>
      <c r="Q76" s="177">
        <f t="shared" si="14"/>
        <v>0.97542635971410419</v>
      </c>
      <c r="R76" s="177">
        <f t="shared" si="8"/>
        <v>4.6463883146671034E-2</v>
      </c>
      <c r="S76" s="177">
        <f t="shared" si="17"/>
        <v>154</v>
      </c>
      <c r="T76" s="177">
        <f t="shared" si="12"/>
        <v>97.91666666666687</v>
      </c>
      <c r="U76" s="177">
        <f t="shared" si="15"/>
        <v>0.97542635971410419</v>
      </c>
      <c r="V76" s="177">
        <f t="shared" si="9"/>
        <v>4.6463883146671034E-2</v>
      </c>
    </row>
    <row r="77" spans="15:22">
      <c r="O77" s="177">
        <f t="shared" si="16"/>
        <v>155</v>
      </c>
      <c r="P77" s="177">
        <f t="shared" si="10"/>
        <v>98.333333333333542</v>
      </c>
      <c r="Q77" s="177">
        <f t="shared" si="14"/>
        <v>0.98804294478085752</v>
      </c>
      <c r="R77" s="177">
        <f t="shared" si="8"/>
        <v>4.5171106517336801E-2</v>
      </c>
      <c r="S77" s="177">
        <f t="shared" si="17"/>
        <v>155</v>
      </c>
      <c r="T77" s="177">
        <f t="shared" si="12"/>
        <v>98.333333333333542</v>
      </c>
      <c r="U77" s="177">
        <f t="shared" si="15"/>
        <v>0.98804294478085752</v>
      </c>
      <c r="V77" s="177">
        <f t="shared" si="9"/>
        <v>4.5171106517336801E-2</v>
      </c>
    </row>
    <row r="78" spans="15:22">
      <c r="O78" s="177">
        <f t="shared" si="16"/>
        <v>156</v>
      </c>
      <c r="P78" s="177">
        <f t="shared" si="10"/>
        <v>98.750000000000213</v>
      </c>
      <c r="Q78" s="177">
        <f t="shared" si="14"/>
        <v>1.0008076578611635</v>
      </c>
      <c r="R78" s="177">
        <f t="shared" si="8"/>
        <v>4.3878329888002568E-2</v>
      </c>
      <c r="S78" s="177">
        <f t="shared" si="17"/>
        <v>156</v>
      </c>
      <c r="T78" s="177">
        <f t="shared" si="12"/>
        <v>98.750000000000213</v>
      </c>
      <c r="U78" s="177">
        <f t="shared" si="15"/>
        <v>1.0008076578611635</v>
      </c>
      <c r="V78" s="177">
        <f t="shared" si="9"/>
        <v>4.3878329888002568E-2</v>
      </c>
    </row>
    <row r="79" spans="15:22">
      <c r="O79" s="177">
        <f t="shared" si="16"/>
        <v>157</v>
      </c>
      <c r="P79" s="177">
        <f t="shared" si="10"/>
        <v>99.166666666666885</v>
      </c>
      <c r="Q79" s="177">
        <f t="shared" si="14"/>
        <v>1.013721441441864</v>
      </c>
      <c r="R79" s="177">
        <f t="shared" si="8"/>
        <v>4.2585553258668335E-2</v>
      </c>
      <c r="S79" s="177">
        <f t="shared" si="17"/>
        <v>157</v>
      </c>
      <c r="T79" s="177">
        <f t="shared" si="12"/>
        <v>99.166666666666885</v>
      </c>
      <c r="U79" s="177">
        <f t="shared" si="15"/>
        <v>1.013721441441864</v>
      </c>
      <c r="V79" s="177">
        <f t="shared" si="9"/>
        <v>4.2585553258668335E-2</v>
      </c>
    </row>
    <row r="80" spans="15:22">
      <c r="O80" s="177">
        <f t="shared" si="16"/>
        <v>158</v>
      </c>
      <c r="P80" s="177">
        <f t="shared" si="10"/>
        <v>99.583333333333556</v>
      </c>
      <c r="Q80" s="177">
        <f t="shared" si="14"/>
        <v>1.0267852400002764</v>
      </c>
      <c r="R80" s="177">
        <f t="shared" si="8"/>
        <v>4.1292776629334102E-2</v>
      </c>
      <c r="S80" s="177">
        <f t="shared" si="17"/>
        <v>158</v>
      </c>
      <c r="T80" s="177">
        <f t="shared" si="12"/>
        <v>99.583333333333556</v>
      </c>
      <c r="U80" s="177">
        <f t="shared" si="15"/>
        <v>1.0267852400002764</v>
      </c>
      <c r="V80" s="177">
        <f t="shared" si="9"/>
        <v>4.1292776629334102E-2</v>
      </c>
    </row>
    <row r="81" spans="15:22">
      <c r="O81" s="179">
        <f t="shared" si="16"/>
        <v>159</v>
      </c>
      <c r="P81" s="179">
        <v>100</v>
      </c>
      <c r="Q81" s="179">
        <f t="shared" si="14"/>
        <v>1.04</v>
      </c>
      <c r="R81" s="179">
        <f>1.04-(POWER(P81*0.01,$N$1))</f>
        <v>4.0000000000000036E-2</v>
      </c>
      <c r="S81" s="179">
        <f t="shared" si="17"/>
        <v>159</v>
      </c>
      <c r="T81" s="179">
        <v>100</v>
      </c>
      <c r="U81" s="179">
        <f t="shared" si="15"/>
        <v>1.04</v>
      </c>
      <c r="V81" s="179">
        <f>1.04-(POWER(T81*0.01,$N$1))</f>
        <v>4.0000000000000036E-2</v>
      </c>
    </row>
    <row r="82" spans="15:22">
      <c r="O82" s="177">
        <f t="shared" si="16"/>
        <v>160</v>
      </c>
      <c r="P82" s="177">
        <f>P81+20/48</f>
        <v>100.41666666666667</v>
      </c>
      <c r="Q82" s="177">
        <f t="shared" si="14"/>
        <v>1.0533666698867861</v>
      </c>
      <c r="R82" s="177">
        <f t="shared" ref="R82:R123" si="18">R81+($R$81-$R$33)/48</f>
        <v>3.8707223370665803E-2</v>
      </c>
      <c r="S82" s="177">
        <f t="shared" si="17"/>
        <v>160</v>
      </c>
      <c r="T82" s="177">
        <f>T81+20/48</f>
        <v>100.41666666666667</v>
      </c>
      <c r="U82" s="177">
        <f t="shared" si="15"/>
        <v>1.0533666698867861</v>
      </c>
      <c r="V82" s="177">
        <f t="shared" ref="V82:V123" si="19">V81+($R$81-$R$33)/48</f>
        <v>3.8707223370665803E-2</v>
      </c>
    </row>
    <row r="83" spans="15:22">
      <c r="O83" s="177">
        <f t="shared" si="16"/>
        <v>161</v>
      </c>
      <c r="P83" s="177">
        <f t="shared" ref="P83:P123" si="20">P82+20/48</f>
        <v>100.83333333333334</v>
      </c>
      <c r="Q83" s="177">
        <f t="shared" si="14"/>
        <v>1.0668862000843593</v>
      </c>
      <c r="R83" s="177">
        <f t="shared" si="18"/>
        <v>3.741444674133157E-2</v>
      </c>
      <c r="S83" s="177">
        <f t="shared" si="17"/>
        <v>161</v>
      </c>
      <c r="T83" s="177">
        <f t="shared" ref="T83:T123" si="21">T82+20/48</f>
        <v>100.83333333333334</v>
      </c>
      <c r="U83" s="177">
        <f t="shared" si="15"/>
        <v>1.0668862000843593</v>
      </c>
      <c r="V83" s="177">
        <f t="shared" si="19"/>
        <v>3.741444674133157E-2</v>
      </c>
    </row>
    <row r="84" spans="15:22">
      <c r="O84" s="177">
        <f t="shared" si="16"/>
        <v>162</v>
      </c>
      <c r="P84" s="177">
        <f t="shared" si="20"/>
        <v>101.25000000000001</v>
      </c>
      <c r="Q84" s="177">
        <f t="shared" si="14"/>
        <v>1.080559542990337</v>
      </c>
      <c r="R84" s="177">
        <f t="shared" si="18"/>
        <v>3.6121670111997337E-2</v>
      </c>
      <c r="S84" s="177">
        <f t="shared" si="17"/>
        <v>162</v>
      </c>
      <c r="T84" s="177">
        <f t="shared" si="21"/>
        <v>101.25000000000001</v>
      </c>
      <c r="U84" s="177">
        <f t="shared" si="15"/>
        <v>1.080559542990337</v>
      </c>
      <c r="V84" s="177">
        <f t="shared" si="19"/>
        <v>3.6121670111997337E-2</v>
      </c>
    </row>
    <row r="85" spans="15:22">
      <c r="O85" s="177">
        <f t="shared" si="16"/>
        <v>163</v>
      </c>
      <c r="P85" s="177">
        <f t="shared" si="20"/>
        <v>101.66666666666669</v>
      </c>
      <c r="Q85" s="177">
        <f t="shared" si="14"/>
        <v>1.0943876529721435</v>
      </c>
      <c r="R85" s="177">
        <f t="shared" si="18"/>
        <v>3.4828893482663104E-2</v>
      </c>
      <c r="S85" s="177">
        <f t="shared" si="17"/>
        <v>163</v>
      </c>
      <c r="T85" s="177">
        <f t="shared" si="21"/>
        <v>101.66666666666669</v>
      </c>
      <c r="U85" s="177">
        <f t="shared" si="15"/>
        <v>1.0943876529721435</v>
      </c>
      <c r="V85" s="177">
        <f t="shared" si="19"/>
        <v>3.4828893482663104E-2</v>
      </c>
    </row>
    <row r="86" spans="15:22">
      <c r="O86" s="177">
        <f t="shared" si="16"/>
        <v>164</v>
      </c>
      <c r="P86" s="177">
        <f t="shared" si="20"/>
        <v>102.08333333333336</v>
      </c>
      <c r="Q86" s="177">
        <f t="shared" si="14"/>
        <v>1.1083714863629501</v>
      </c>
      <c r="R86" s="177">
        <f t="shared" si="18"/>
        <v>3.3536116853328871E-2</v>
      </c>
      <c r="S86" s="177">
        <f t="shared" si="17"/>
        <v>164</v>
      </c>
      <c r="T86" s="177">
        <f t="shared" si="21"/>
        <v>102.08333333333336</v>
      </c>
      <c r="U86" s="177">
        <f t="shared" si="15"/>
        <v>1.1083714863629501</v>
      </c>
      <c r="V86" s="177">
        <f t="shared" si="19"/>
        <v>3.3536116853328871E-2</v>
      </c>
    </row>
    <row r="87" spans="15:22">
      <c r="O87" s="177">
        <f t="shared" si="16"/>
        <v>165</v>
      </c>
      <c r="P87" s="177">
        <f t="shared" si="20"/>
        <v>102.50000000000003</v>
      </c>
      <c r="Q87" s="177">
        <f t="shared" si="14"/>
        <v>1.1225120014576446</v>
      </c>
      <c r="R87" s="177">
        <f t="shared" si="18"/>
        <v>3.2243340223994638E-2</v>
      </c>
      <c r="S87" s="177">
        <f t="shared" si="17"/>
        <v>165</v>
      </c>
      <c r="T87" s="177">
        <f t="shared" si="21"/>
        <v>102.50000000000003</v>
      </c>
      <c r="U87" s="177">
        <f t="shared" si="15"/>
        <v>1.1225120014576446</v>
      </c>
      <c r="V87" s="177">
        <f t="shared" si="19"/>
        <v>3.2243340223994638E-2</v>
      </c>
    </row>
    <row r="88" spans="15:22">
      <c r="O88" s="177">
        <f t="shared" si="16"/>
        <v>166</v>
      </c>
      <c r="P88" s="177">
        <f t="shared" si="20"/>
        <v>102.9166666666667</v>
      </c>
      <c r="Q88" s="177">
        <f t="shared" si="14"/>
        <v>1.1368101585088195</v>
      </c>
      <c r="R88" s="177">
        <f t="shared" si="18"/>
        <v>3.0950563594660408E-2</v>
      </c>
      <c r="S88" s="177">
        <f t="shared" si="17"/>
        <v>166</v>
      </c>
      <c r="T88" s="177">
        <f t="shared" si="21"/>
        <v>102.9166666666667</v>
      </c>
      <c r="U88" s="177">
        <f t="shared" si="15"/>
        <v>1.1368101585088195</v>
      </c>
      <c r="V88" s="177">
        <f t="shared" si="19"/>
        <v>3.0950563594660408E-2</v>
      </c>
    </row>
    <row r="89" spans="15:22">
      <c r="O89" s="177">
        <f t="shared" si="16"/>
        <v>167</v>
      </c>
      <c r="P89" s="177">
        <f t="shared" si="20"/>
        <v>103.33333333333337</v>
      </c>
      <c r="Q89" s="177">
        <f t="shared" si="14"/>
        <v>1.1512669197227943</v>
      </c>
      <c r="R89" s="177">
        <f t="shared" si="18"/>
        <v>2.9657786965326179E-2</v>
      </c>
      <c r="S89" s="177">
        <f t="shared" si="17"/>
        <v>167</v>
      </c>
      <c r="T89" s="177">
        <f t="shared" si="21"/>
        <v>103.33333333333337</v>
      </c>
      <c r="U89" s="177">
        <f t="shared" si="15"/>
        <v>1.1512669197227943</v>
      </c>
      <c r="V89" s="177">
        <f t="shared" si="19"/>
        <v>2.9657786965326179E-2</v>
      </c>
    </row>
    <row r="90" spans="15:22">
      <c r="O90" s="177">
        <f t="shared" si="16"/>
        <v>168</v>
      </c>
      <c r="P90" s="177">
        <f t="shared" si="20"/>
        <v>103.75000000000004</v>
      </c>
      <c r="Q90" s="177">
        <f t="shared" si="14"/>
        <v>1.1658832492556537</v>
      </c>
      <c r="R90" s="177">
        <f t="shared" si="18"/>
        <v>2.8365010335991949E-2</v>
      </c>
      <c r="S90" s="177">
        <f t="shared" si="17"/>
        <v>168</v>
      </c>
      <c r="T90" s="177">
        <f t="shared" si="21"/>
        <v>103.75000000000004</v>
      </c>
      <c r="U90" s="177">
        <f t="shared" si="15"/>
        <v>1.1658832492556537</v>
      </c>
      <c r="V90" s="177">
        <f t="shared" si="19"/>
        <v>2.8365010335991949E-2</v>
      </c>
    </row>
    <row r="91" spans="15:22">
      <c r="O91" s="177">
        <f t="shared" si="16"/>
        <v>169</v>
      </c>
      <c r="P91" s="177">
        <f t="shared" si="20"/>
        <v>104.16666666666671</v>
      </c>
      <c r="Q91" s="177">
        <f t="shared" si="14"/>
        <v>1.1806601132093109</v>
      </c>
      <c r="R91" s="177">
        <f t="shared" si="18"/>
        <v>2.707223370665772E-2</v>
      </c>
      <c r="S91" s="177">
        <f t="shared" si="17"/>
        <v>169</v>
      </c>
      <c r="T91" s="177">
        <f t="shared" si="21"/>
        <v>104.16666666666671</v>
      </c>
      <c r="U91" s="177">
        <f t="shared" si="15"/>
        <v>1.1806601132093109</v>
      </c>
      <c r="V91" s="177">
        <f t="shared" si="19"/>
        <v>2.707223370665772E-2</v>
      </c>
    </row>
    <row r="92" spans="15:22">
      <c r="O92" s="177">
        <f t="shared" si="16"/>
        <v>170</v>
      </c>
      <c r="P92" s="177">
        <f t="shared" si="20"/>
        <v>104.58333333333339</v>
      </c>
      <c r="Q92" s="177">
        <f t="shared" si="14"/>
        <v>1.1955984796276009</v>
      </c>
      <c r="R92" s="177">
        <f t="shared" si="18"/>
        <v>2.577945707732349E-2</v>
      </c>
      <c r="S92" s="177">
        <f t="shared" si="17"/>
        <v>170</v>
      </c>
      <c r="T92" s="177">
        <f t="shared" si="21"/>
        <v>104.58333333333339</v>
      </c>
      <c r="U92" s="177">
        <f t="shared" si="15"/>
        <v>1.1955984796276009</v>
      </c>
      <c r="V92" s="177">
        <f t="shared" si="19"/>
        <v>2.577945707732349E-2</v>
      </c>
    </row>
    <row r="93" spans="15:22">
      <c r="O93" s="177">
        <f t="shared" si="16"/>
        <v>171</v>
      </c>
      <c r="P93" s="177">
        <f t="shared" si="20"/>
        <v>105.00000000000006</v>
      </c>
      <c r="Q93" s="177">
        <f t="shared" si="14"/>
        <v>1.2106993184923891</v>
      </c>
      <c r="R93" s="177">
        <f t="shared" si="18"/>
        <v>2.4486680447989261E-2</v>
      </c>
      <c r="S93" s="177">
        <f t="shared" si="17"/>
        <v>171</v>
      </c>
      <c r="T93" s="177">
        <f t="shared" si="21"/>
        <v>105.00000000000006</v>
      </c>
      <c r="U93" s="177">
        <f t="shared" si="15"/>
        <v>1.2106993184923891</v>
      </c>
      <c r="V93" s="177">
        <f t="shared" si="19"/>
        <v>2.4486680447989261E-2</v>
      </c>
    </row>
    <row r="94" spans="15:22">
      <c r="O94" s="177">
        <f t="shared" si="16"/>
        <v>172</v>
      </c>
      <c r="P94" s="177">
        <f t="shared" si="20"/>
        <v>105.41666666666673</v>
      </c>
      <c r="Q94" s="177">
        <f t="shared" si="14"/>
        <v>1.2259636017197093</v>
      </c>
      <c r="R94" s="177">
        <f t="shared" si="18"/>
        <v>2.3193903818655031E-2</v>
      </c>
      <c r="S94" s="177">
        <f t="shared" si="17"/>
        <v>172</v>
      </c>
      <c r="T94" s="177">
        <f t="shared" si="21"/>
        <v>105.41666666666673</v>
      </c>
      <c r="U94" s="177">
        <f t="shared" si="15"/>
        <v>1.2259636017197093</v>
      </c>
      <c r="V94" s="177">
        <f t="shared" si="19"/>
        <v>2.3193903818655031E-2</v>
      </c>
    </row>
    <row r="95" spans="15:22">
      <c r="O95" s="177">
        <f t="shared" si="16"/>
        <v>173</v>
      </c>
      <c r="P95" s="177">
        <f t="shared" si="20"/>
        <v>105.8333333333334</v>
      </c>
      <c r="Q95" s="177">
        <f t="shared" si="14"/>
        <v>1.2413923031559171</v>
      </c>
      <c r="R95" s="177">
        <f t="shared" si="18"/>
        <v>2.1901127189320801E-2</v>
      </c>
      <c r="S95" s="177">
        <f t="shared" si="17"/>
        <v>173</v>
      </c>
      <c r="T95" s="177">
        <f t="shared" si="21"/>
        <v>105.8333333333334</v>
      </c>
      <c r="U95" s="177">
        <f t="shared" si="15"/>
        <v>1.2413923031559171</v>
      </c>
      <c r="V95" s="177">
        <f t="shared" si="19"/>
        <v>2.1901127189320801E-2</v>
      </c>
    </row>
    <row r="96" spans="15:22">
      <c r="O96" s="177">
        <f t="shared" si="16"/>
        <v>174</v>
      </c>
      <c r="P96" s="177">
        <f t="shared" si="20"/>
        <v>106.25000000000007</v>
      </c>
      <c r="Q96" s="177">
        <f t="shared" si="14"/>
        <v>1.2569863985738787</v>
      </c>
      <c r="R96" s="177">
        <f t="shared" si="18"/>
        <v>2.0608350559986572E-2</v>
      </c>
      <c r="S96" s="177">
        <f t="shared" si="17"/>
        <v>174</v>
      </c>
      <c r="T96" s="177">
        <f t="shared" si="21"/>
        <v>106.25000000000007</v>
      </c>
      <c r="U96" s="177">
        <f t="shared" si="15"/>
        <v>1.2569863985738787</v>
      </c>
      <c r="V96" s="177">
        <f t="shared" si="19"/>
        <v>2.0608350559986572E-2</v>
      </c>
    </row>
    <row r="97" spans="15:22">
      <c r="O97" s="177">
        <f>O96+1</f>
        <v>175</v>
      </c>
      <c r="P97" s="177">
        <f t="shared" si="20"/>
        <v>106.66666666666674</v>
      </c>
      <c r="Q97" s="177">
        <f t="shared" si="14"/>
        <v>1.2727468656691709</v>
      </c>
      <c r="R97" s="177">
        <f t="shared" si="18"/>
        <v>1.9315573930652342E-2</v>
      </c>
      <c r="S97" s="177">
        <f>S96+1</f>
        <v>175</v>
      </c>
      <c r="T97" s="177">
        <f t="shared" si="21"/>
        <v>106.66666666666674</v>
      </c>
      <c r="U97" s="177">
        <f t="shared" si="15"/>
        <v>1.2727468656691709</v>
      </c>
      <c r="V97" s="177">
        <f t="shared" si="19"/>
        <v>1.9315573930652342E-2</v>
      </c>
    </row>
    <row r="98" spans="15:22">
      <c r="O98" s="177">
        <f>O97+1</f>
        <v>176</v>
      </c>
      <c r="P98" s="177">
        <f t="shared" si="20"/>
        <v>107.08333333333341</v>
      </c>
      <c r="Q98" s="177">
        <f t="shared" si="14"/>
        <v>1.2886746840563039</v>
      </c>
      <c r="R98" s="177">
        <f t="shared" si="18"/>
        <v>1.8022797301318113E-2</v>
      </c>
      <c r="S98" s="177">
        <f>S97+1</f>
        <v>176</v>
      </c>
      <c r="T98" s="177">
        <f t="shared" si="21"/>
        <v>107.08333333333341</v>
      </c>
      <c r="U98" s="177">
        <f t="shared" si="15"/>
        <v>1.2886746840563039</v>
      </c>
      <c r="V98" s="177">
        <f t="shared" si="19"/>
        <v>1.8022797301318113E-2</v>
      </c>
    </row>
    <row r="99" spans="15:22">
      <c r="O99" s="177">
        <f t="shared" si="16"/>
        <v>177</v>
      </c>
      <c r="P99" s="177">
        <f t="shared" si="20"/>
        <v>107.50000000000009</v>
      </c>
      <c r="Q99" s="177">
        <f t="shared" ref="Q99:Q123" si="22">POWER(P99*0.01,$N$1)+R99</f>
        <v>1.3047708352649774</v>
      </c>
      <c r="R99" s="177">
        <f t="shared" si="18"/>
        <v>1.6730020671983883E-2</v>
      </c>
      <c r="S99" s="177">
        <f t="shared" si="17"/>
        <v>177</v>
      </c>
      <c r="T99" s="177">
        <f t="shared" si="21"/>
        <v>107.50000000000009</v>
      </c>
      <c r="U99" s="177">
        <f t="shared" ref="U99:U123" si="23">POWER(T99*0.01,$N$1)+V99</f>
        <v>1.3047708352649774</v>
      </c>
      <c r="V99" s="177">
        <f t="shared" si="19"/>
        <v>1.6730020671983883E-2</v>
      </c>
    </row>
    <row r="100" spans="15:22">
      <c r="O100" s="177">
        <f t="shared" si="16"/>
        <v>178</v>
      </c>
      <c r="P100" s="177">
        <f t="shared" si="20"/>
        <v>107.91666666666676</v>
      </c>
      <c r="Q100" s="177">
        <f t="shared" si="22"/>
        <v>1.3210363027363443</v>
      </c>
      <c r="R100" s="177">
        <f t="shared" si="18"/>
        <v>1.5437244042649654E-2</v>
      </c>
      <c r="S100" s="177">
        <f t="shared" si="17"/>
        <v>178</v>
      </c>
      <c r="T100" s="177">
        <f t="shared" si="21"/>
        <v>107.91666666666676</v>
      </c>
      <c r="U100" s="177">
        <f t="shared" si="23"/>
        <v>1.3210363027363443</v>
      </c>
      <c r="V100" s="177">
        <f t="shared" si="19"/>
        <v>1.5437244042649654E-2</v>
      </c>
    </row>
    <row r="101" spans="15:22">
      <c r="O101" s="177">
        <f t="shared" si="16"/>
        <v>179</v>
      </c>
      <c r="P101" s="177">
        <f t="shared" si="20"/>
        <v>108.33333333333343</v>
      </c>
      <c r="Q101" s="177">
        <f t="shared" si="22"/>
        <v>1.3374720718193074</v>
      </c>
      <c r="R101" s="177">
        <f t="shared" si="18"/>
        <v>1.4144467413315424E-2</v>
      </c>
      <c r="S101" s="177">
        <f t="shared" si="17"/>
        <v>179</v>
      </c>
      <c r="T101" s="177">
        <f t="shared" si="21"/>
        <v>108.33333333333343</v>
      </c>
      <c r="U101" s="177">
        <f t="shared" si="23"/>
        <v>1.3374720718193074</v>
      </c>
      <c r="V101" s="177">
        <f t="shared" si="19"/>
        <v>1.4144467413315424E-2</v>
      </c>
    </row>
    <row r="102" spans="15:22">
      <c r="O102" s="177">
        <f t="shared" si="16"/>
        <v>180</v>
      </c>
      <c r="P102" s="177">
        <f t="shared" si="20"/>
        <v>108.7500000000001</v>
      </c>
      <c r="Q102" s="177">
        <f t="shared" si="22"/>
        <v>1.3540791297668275</v>
      </c>
      <c r="R102" s="177">
        <f t="shared" si="18"/>
        <v>1.2851690783981195E-2</v>
      </c>
      <c r="S102" s="177">
        <f t="shared" si="17"/>
        <v>180</v>
      </c>
      <c r="T102" s="177">
        <f t="shared" si="21"/>
        <v>108.7500000000001</v>
      </c>
      <c r="U102" s="177">
        <f t="shared" si="23"/>
        <v>1.3540791297668275</v>
      </c>
      <c r="V102" s="177">
        <f t="shared" si="19"/>
        <v>1.2851690783981195E-2</v>
      </c>
    </row>
    <row r="103" spans="15:22">
      <c r="O103" s="177">
        <f t="shared" si="16"/>
        <v>181</v>
      </c>
      <c r="P103" s="177">
        <f t="shared" si="20"/>
        <v>109.16666666666677</v>
      </c>
      <c r="Q103" s="177">
        <f t="shared" si="22"/>
        <v>1.3708584657322638</v>
      </c>
      <c r="R103" s="177">
        <f t="shared" si="18"/>
        <v>1.1558914154646965E-2</v>
      </c>
      <c r="S103" s="177">
        <f t="shared" si="17"/>
        <v>181</v>
      </c>
      <c r="T103" s="177">
        <f t="shared" si="21"/>
        <v>109.16666666666677</v>
      </c>
      <c r="U103" s="177">
        <f t="shared" si="23"/>
        <v>1.3708584657322638</v>
      </c>
      <c r="V103" s="177">
        <f t="shared" si="19"/>
        <v>1.1558914154646965E-2</v>
      </c>
    </row>
    <row r="104" spans="15:22">
      <c r="O104" s="177">
        <f t="shared" si="16"/>
        <v>182</v>
      </c>
      <c r="P104" s="177">
        <f t="shared" si="20"/>
        <v>109.58333333333344</v>
      </c>
      <c r="Q104" s="177">
        <f t="shared" si="22"/>
        <v>1.3878110707657274</v>
      </c>
      <c r="R104" s="177">
        <f t="shared" si="18"/>
        <v>1.0266137525312736E-2</v>
      </c>
      <c r="S104" s="177">
        <f t="shared" si="17"/>
        <v>182</v>
      </c>
      <c r="T104" s="177">
        <f t="shared" si="21"/>
        <v>109.58333333333344</v>
      </c>
      <c r="U104" s="177">
        <f t="shared" si="23"/>
        <v>1.3878110707657274</v>
      </c>
      <c r="V104" s="177">
        <f t="shared" si="19"/>
        <v>1.0266137525312736E-2</v>
      </c>
    </row>
    <row r="105" spans="15:22">
      <c r="O105" s="177">
        <f t="shared" si="16"/>
        <v>183</v>
      </c>
      <c r="P105" s="177">
        <f t="shared" si="20"/>
        <v>110.00000000000011</v>
      </c>
      <c r="Q105" s="177">
        <f t="shared" si="22"/>
        <v>1.4049379378104556</v>
      </c>
      <c r="R105" s="177">
        <f t="shared" si="18"/>
        <v>8.9733608959785063E-3</v>
      </c>
      <c r="S105" s="177">
        <f t="shared" si="17"/>
        <v>183</v>
      </c>
      <c r="T105" s="177">
        <f t="shared" si="21"/>
        <v>110.00000000000011</v>
      </c>
      <c r="U105" s="177">
        <f t="shared" si="23"/>
        <v>1.4049379378104556</v>
      </c>
      <c r="V105" s="177">
        <f t="shared" si="19"/>
        <v>8.9733608959785063E-3</v>
      </c>
    </row>
    <row r="106" spans="15:22">
      <c r="O106" s="177">
        <f t="shared" si="16"/>
        <v>184</v>
      </c>
      <c r="P106" s="177">
        <f t="shared" si="20"/>
        <v>110.41666666666679</v>
      </c>
      <c r="Q106" s="177">
        <f t="shared" si="22"/>
        <v>1.4222400616992144</v>
      </c>
      <c r="R106" s="177">
        <f t="shared" si="18"/>
        <v>7.6805842666442768E-3</v>
      </c>
      <c r="S106" s="177">
        <f t="shared" si="17"/>
        <v>184</v>
      </c>
      <c r="T106" s="177">
        <f t="shared" si="21"/>
        <v>110.41666666666679</v>
      </c>
      <c r="U106" s="177">
        <f t="shared" si="23"/>
        <v>1.4222400616992144</v>
      </c>
      <c r="V106" s="177">
        <f t="shared" si="19"/>
        <v>7.6805842666442768E-3</v>
      </c>
    </row>
    <row r="107" spans="15:22">
      <c r="O107" s="177">
        <f t="shared" si="16"/>
        <v>185</v>
      </c>
      <c r="P107" s="177">
        <f t="shared" si="20"/>
        <v>110.83333333333346</v>
      </c>
      <c r="Q107" s="177">
        <f t="shared" si="22"/>
        <v>1.4397184391507123</v>
      </c>
      <c r="R107" s="177">
        <f t="shared" si="18"/>
        <v>6.3878076373100473E-3</v>
      </c>
      <c r="S107" s="177">
        <f t="shared" si="17"/>
        <v>185</v>
      </c>
      <c r="T107" s="177">
        <f t="shared" si="21"/>
        <v>110.83333333333346</v>
      </c>
      <c r="U107" s="177">
        <f t="shared" si="23"/>
        <v>1.4397184391507123</v>
      </c>
      <c r="V107" s="177">
        <f t="shared" si="19"/>
        <v>6.3878076373100473E-3</v>
      </c>
    </row>
    <row r="108" spans="15:22">
      <c r="O108" s="177">
        <f t="shared" si="16"/>
        <v>186</v>
      </c>
      <c r="P108" s="177">
        <f t="shared" si="20"/>
        <v>111.25000000000013</v>
      </c>
      <c r="Q108" s="177">
        <f t="shared" si="22"/>
        <v>1.4573740687660421</v>
      </c>
      <c r="R108" s="177">
        <f t="shared" si="18"/>
        <v>5.0950310079758178E-3</v>
      </c>
      <c r="S108" s="177">
        <f t="shared" si="17"/>
        <v>186</v>
      </c>
      <c r="T108" s="177">
        <f t="shared" si="21"/>
        <v>111.25000000000013</v>
      </c>
      <c r="U108" s="177">
        <f t="shared" si="23"/>
        <v>1.4573740687660421</v>
      </c>
      <c r="V108" s="177">
        <f t="shared" si="19"/>
        <v>5.0950310079758178E-3</v>
      </c>
    </row>
    <row r="109" spans="15:22">
      <c r="O109" s="177">
        <f t="shared" si="16"/>
        <v>187</v>
      </c>
      <c r="P109" s="177">
        <f t="shared" si="20"/>
        <v>111.6666666666668</v>
      </c>
      <c r="Q109" s="177">
        <f t="shared" si="22"/>
        <v>1.475207951025133</v>
      </c>
      <c r="R109" s="177">
        <f t="shared" si="18"/>
        <v>3.8022543786415883E-3</v>
      </c>
      <c r="S109" s="177">
        <f t="shared" si="17"/>
        <v>187</v>
      </c>
      <c r="T109" s="177">
        <f t="shared" si="21"/>
        <v>111.6666666666668</v>
      </c>
      <c r="U109" s="177">
        <f t="shared" si="23"/>
        <v>1.475207951025133</v>
      </c>
      <c r="V109" s="177">
        <f t="shared" si="19"/>
        <v>3.8022543786415883E-3</v>
      </c>
    </row>
    <row r="110" spans="15:22">
      <c r="O110" s="177">
        <f t="shared" si="16"/>
        <v>188</v>
      </c>
      <c r="P110" s="177">
        <f t="shared" si="20"/>
        <v>112.08333333333347</v>
      </c>
      <c r="Q110" s="177">
        <f t="shared" si="22"/>
        <v>1.4932210882832366</v>
      </c>
      <c r="R110" s="177">
        <f t="shared" si="18"/>
        <v>2.5094777493073588E-3</v>
      </c>
      <c r="S110" s="177">
        <f t="shared" si="17"/>
        <v>188</v>
      </c>
      <c r="T110" s="177">
        <f t="shared" si="21"/>
        <v>112.08333333333347</v>
      </c>
      <c r="U110" s="177">
        <f t="shared" si="23"/>
        <v>1.4932210882832366</v>
      </c>
      <c r="V110" s="177">
        <f t="shared" si="19"/>
        <v>2.5094777493073588E-3</v>
      </c>
    </row>
    <row r="111" spans="15:22">
      <c r="O111" s="177">
        <f t="shared" si="16"/>
        <v>189</v>
      </c>
      <c r="P111" s="177">
        <f t="shared" si="20"/>
        <v>112.50000000000014</v>
      </c>
      <c r="Q111" s="177">
        <f t="shared" si="22"/>
        <v>1.5114144847674211</v>
      </c>
      <c r="R111" s="177">
        <f t="shared" si="18"/>
        <v>1.2167011199731292E-3</v>
      </c>
      <c r="S111" s="177">
        <f t="shared" si="17"/>
        <v>189</v>
      </c>
      <c r="T111" s="177">
        <f t="shared" si="21"/>
        <v>112.50000000000014</v>
      </c>
      <c r="U111" s="177">
        <f t="shared" si="23"/>
        <v>1.5114144847674211</v>
      </c>
      <c r="V111" s="177">
        <f t="shared" si="19"/>
        <v>1.2167011199731292E-3</v>
      </c>
    </row>
    <row r="112" spans="15:22">
      <c r="O112" s="177">
        <f t="shared" si="16"/>
        <v>190</v>
      </c>
      <c r="P112" s="177">
        <f t="shared" si="20"/>
        <v>112.91666666666681</v>
      </c>
      <c r="Q112" s="177">
        <f t="shared" si="22"/>
        <v>1.5297891465730862</v>
      </c>
      <c r="R112" s="177">
        <f t="shared" si="18"/>
        <v>-7.6075509361100274E-5</v>
      </c>
      <c r="S112" s="177">
        <f t="shared" si="17"/>
        <v>190</v>
      </c>
      <c r="T112" s="177">
        <f t="shared" si="21"/>
        <v>112.91666666666681</v>
      </c>
      <c r="U112" s="177">
        <f t="shared" si="23"/>
        <v>1.5297891465730862</v>
      </c>
      <c r="V112" s="177">
        <f t="shared" si="19"/>
        <v>-7.6075509361100274E-5</v>
      </c>
    </row>
    <row r="113" spans="1:22">
      <c r="O113" s="177">
        <f t="shared" si="16"/>
        <v>191</v>
      </c>
      <c r="P113" s="177">
        <f t="shared" si="20"/>
        <v>113.33333333333348</v>
      </c>
      <c r="Q113" s="177">
        <f t="shared" si="22"/>
        <v>1.548346081660505</v>
      </c>
      <c r="R113" s="177">
        <f t="shared" si="18"/>
        <v>-1.3688521386953298E-3</v>
      </c>
      <c r="S113" s="177">
        <f t="shared" si="17"/>
        <v>191</v>
      </c>
      <c r="T113" s="177">
        <f t="shared" si="21"/>
        <v>113.33333333333348</v>
      </c>
      <c r="U113" s="177">
        <f t="shared" si="23"/>
        <v>1.548346081660505</v>
      </c>
      <c r="V113" s="177">
        <f t="shared" si="19"/>
        <v>-1.3688521386953298E-3</v>
      </c>
    </row>
    <row r="114" spans="1:22">
      <c r="O114" s="177">
        <f t="shared" si="16"/>
        <v>192</v>
      </c>
      <c r="P114" s="177">
        <f t="shared" si="20"/>
        <v>113.75000000000016</v>
      </c>
      <c r="Q114" s="177">
        <f t="shared" si="22"/>
        <v>1.5670862998513779</v>
      </c>
      <c r="R114" s="177">
        <f t="shared" si="18"/>
        <v>-2.6616287680295593E-3</v>
      </c>
      <c r="S114" s="177">
        <f t="shared" si="17"/>
        <v>192</v>
      </c>
      <c r="T114" s="177">
        <f t="shared" si="21"/>
        <v>113.75000000000016</v>
      </c>
      <c r="U114" s="177">
        <f t="shared" si="23"/>
        <v>1.5670862998513779</v>
      </c>
      <c r="V114" s="177">
        <f t="shared" si="19"/>
        <v>-2.6616287680295593E-3</v>
      </c>
    </row>
    <row r="115" spans="1:22">
      <c r="O115" s="177">
        <f t="shared" si="16"/>
        <v>193</v>
      </c>
      <c r="P115" s="177">
        <f t="shared" si="20"/>
        <v>114.16666666666683</v>
      </c>
      <c r="Q115" s="177">
        <f t="shared" si="22"/>
        <v>1.586010812825408</v>
      </c>
      <c r="R115" s="177">
        <f t="shared" si="18"/>
        <v>-3.9544053973637888E-3</v>
      </c>
      <c r="S115" s="177">
        <f t="shared" si="17"/>
        <v>193</v>
      </c>
      <c r="T115" s="177">
        <f t="shared" si="21"/>
        <v>114.16666666666683</v>
      </c>
      <c r="U115" s="177">
        <f t="shared" si="23"/>
        <v>1.586010812825408</v>
      </c>
      <c r="V115" s="177">
        <f t="shared" si="19"/>
        <v>-3.9544053973637888E-3</v>
      </c>
    </row>
    <row r="116" spans="1:22">
      <c r="O116" s="177">
        <f t="shared" si="16"/>
        <v>194</v>
      </c>
      <c r="P116" s="177">
        <f t="shared" si="20"/>
        <v>114.5833333333335</v>
      </c>
      <c r="Q116" s="177">
        <f t="shared" si="22"/>
        <v>1.6051206341168913</v>
      </c>
      <c r="R116" s="177">
        <f t="shared" si="18"/>
        <v>-5.2471820266980183E-3</v>
      </c>
      <c r="S116" s="177">
        <f t="shared" si="17"/>
        <v>194</v>
      </c>
      <c r="T116" s="177">
        <f t="shared" si="21"/>
        <v>114.5833333333335</v>
      </c>
      <c r="U116" s="177">
        <f t="shared" si="23"/>
        <v>1.6051206341168913</v>
      </c>
      <c r="V116" s="177">
        <f t="shared" si="19"/>
        <v>-5.2471820266980183E-3</v>
      </c>
    </row>
    <row r="117" spans="1:22">
      <c r="O117" s="177">
        <f t="shared" si="16"/>
        <v>195</v>
      </c>
      <c r="P117" s="177">
        <f t="shared" si="20"/>
        <v>115.00000000000017</v>
      </c>
      <c r="Q117" s="177">
        <f t="shared" si="22"/>
        <v>1.6244167791113364</v>
      </c>
      <c r="R117" s="177">
        <f t="shared" si="18"/>
        <v>-6.5399586560322479E-3</v>
      </c>
      <c r="S117" s="177">
        <f t="shared" si="17"/>
        <v>195</v>
      </c>
      <c r="T117" s="177">
        <f t="shared" si="21"/>
        <v>115.00000000000017</v>
      </c>
      <c r="U117" s="177">
        <f t="shared" si="23"/>
        <v>1.6244167791113364</v>
      </c>
      <c r="V117" s="177">
        <f t="shared" si="19"/>
        <v>-6.5399586560322479E-3</v>
      </c>
    </row>
    <row r="118" spans="1:22">
      <c r="O118" s="177">
        <f t="shared" si="16"/>
        <v>196</v>
      </c>
      <c r="P118" s="177">
        <f t="shared" si="20"/>
        <v>115.41666666666684</v>
      </c>
      <c r="Q118" s="177">
        <f t="shared" si="22"/>
        <v>1.6439002650420906</v>
      </c>
      <c r="R118" s="177">
        <f t="shared" si="18"/>
        <v>-7.8327352853664774E-3</v>
      </c>
      <c r="S118" s="177">
        <f t="shared" si="17"/>
        <v>196</v>
      </c>
      <c r="T118" s="177">
        <f t="shared" si="21"/>
        <v>115.41666666666684</v>
      </c>
      <c r="U118" s="177">
        <f t="shared" si="23"/>
        <v>1.6439002650420906</v>
      </c>
      <c r="V118" s="177">
        <f t="shared" si="19"/>
        <v>-7.8327352853664774E-3</v>
      </c>
    </row>
    <row r="119" spans="1:22">
      <c r="O119" s="177">
        <f t="shared" si="16"/>
        <v>197</v>
      </c>
      <c r="P119" s="177">
        <f t="shared" si="20"/>
        <v>115.83333333333351</v>
      </c>
      <c r="Q119" s="177">
        <f t="shared" si="22"/>
        <v>1.6635721109869908</v>
      </c>
      <c r="R119" s="177">
        <f t="shared" si="18"/>
        <v>-9.1255119147007069E-3</v>
      </c>
      <c r="S119" s="177">
        <f t="shared" si="17"/>
        <v>197</v>
      </c>
      <c r="T119" s="177">
        <f t="shared" si="21"/>
        <v>115.83333333333351</v>
      </c>
      <c r="U119" s="177">
        <f t="shared" si="23"/>
        <v>1.6635721109869908</v>
      </c>
      <c r="V119" s="177">
        <f t="shared" si="19"/>
        <v>-9.1255119147007069E-3</v>
      </c>
    </row>
    <row r="120" spans="1:22">
      <c r="O120" s="177">
        <f t="shared" si="16"/>
        <v>198</v>
      </c>
      <c r="P120" s="177">
        <f t="shared" si="20"/>
        <v>116.25000000000018</v>
      </c>
      <c r="Q120" s="177">
        <f t="shared" si="22"/>
        <v>1.683433337865029</v>
      </c>
      <c r="R120" s="177">
        <f t="shared" si="18"/>
        <v>-1.0418288544034936E-2</v>
      </c>
      <c r="S120" s="177">
        <f t="shared" si="17"/>
        <v>198</v>
      </c>
      <c r="T120" s="177">
        <f t="shared" si="21"/>
        <v>116.25000000000018</v>
      </c>
      <c r="U120" s="177">
        <f t="shared" si="23"/>
        <v>1.683433337865029</v>
      </c>
      <c r="V120" s="177">
        <f t="shared" si="19"/>
        <v>-1.0418288544034936E-2</v>
      </c>
    </row>
    <row r="121" spans="1:22">
      <c r="O121" s="177">
        <f t="shared" si="16"/>
        <v>199</v>
      </c>
      <c r="P121" s="177">
        <f t="shared" si="20"/>
        <v>116.66666666666686</v>
      </c>
      <c r="Q121" s="177">
        <f t="shared" si="22"/>
        <v>1.7034849684330415</v>
      </c>
      <c r="R121" s="177">
        <f t="shared" si="18"/>
        <v>-1.1711065173369166E-2</v>
      </c>
      <c r="S121" s="177">
        <f t="shared" si="17"/>
        <v>199</v>
      </c>
      <c r="T121" s="177">
        <f t="shared" si="21"/>
        <v>116.66666666666686</v>
      </c>
      <c r="U121" s="177">
        <f t="shared" si="23"/>
        <v>1.7034849684330415</v>
      </c>
      <c r="V121" s="177">
        <f t="shared" si="19"/>
        <v>-1.1711065173369166E-2</v>
      </c>
    </row>
    <row r="122" spans="1:22">
      <c r="O122" s="177">
        <f t="shared" si="16"/>
        <v>200</v>
      </c>
      <c r="P122" s="177">
        <f t="shared" si="20"/>
        <v>117.08333333333353</v>
      </c>
      <c r="Q122" s="177">
        <f t="shared" si="22"/>
        <v>1.7237280272824116</v>
      </c>
      <c r="R122" s="177">
        <f t="shared" si="18"/>
        <v>-1.3003841802703395E-2</v>
      </c>
      <c r="S122" s="177">
        <f t="shared" si="17"/>
        <v>200</v>
      </c>
      <c r="T122" s="177">
        <f t="shared" si="21"/>
        <v>117.08333333333353</v>
      </c>
      <c r="U122" s="177">
        <f t="shared" si="23"/>
        <v>1.7237280272824116</v>
      </c>
      <c r="V122" s="177">
        <f t="shared" si="19"/>
        <v>-1.3003841802703395E-2</v>
      </c>
    </row>
    <row r="123" spans="1:22" ht="14.25">
      <c r="E123" s="188"/>
      <c r="H123" s="188"/>
      <c r="O123" s="177">
        <f t="shared" si="16"/>
        <v>201</v>
      </c>
      <c r="P123" s="177">
        <f t="shared" si="20"/>
        <v>117.5000000000002</v>
      </c>
      <c r="Q123" s="177">
        <f t="shared" si="22"/>
        <v>1.7441635408357847</v>
      </c>
      <c r="R123" s="177">
        <f t="shared" si="18"/>
        <v>-1.4296618432037625E-2</v>
      </c>
      <c r="S123" s="177">
        <f t="shared" si="17"/>
        <v>201</v>
      </c>
      <c r="T123" s="177">
        <f t="shared" si="21"/>
        <v>117.5000000000002</v>
      </c>
      <c r="U123" s="177">
        <f t="shared" si="23"/>
        <v>1.7441635408357847</v>
      </c>
      <c r="V123" s="177">
        <f t="shared" si="19"/>
        <v>-1.4296618432037625E-2</v>
      </c>
    </row>
    <row r="124" spans="1:22" ht="14.25">
      <c r="E124" s="187"/>
      <c r="H124" s="187"/>
    </row>
    <row r="126" spans="1:22" ht="13.5" thickBot="1"/>
    <row r="127" spans="1:22" ht="15" thickBot="1">
      <c r="A127" s="425">
        <f>(Calculadora!B1)+((100-A133)*0.75)</f>
        <v>131.55000000000001</v>
      </c>
      <c r="C127" s="425">
        <f>(Calculadora!B1)+((100-C133)*0.75)</f>
        <v>131.55000000000001</v>
      </c>
      <c r="D127" s="186"/>
      <c r="F127" s="187"/>
      <c r="G127" s="186"/>
    </row>
    <row r="128" spans="1:22" ht="15" thickBot="1">
      <c r="A128" s="426">
        <f>Calculadora!B2</f>
        <v>0.86</v>
      </c>
      <c r="C128" s="426">
        <f>Calculadora!B2</f>
        <v>0.86</v>
      </c>
      <c r="D128" s="186"/>
      <c r="F128" s="187"/>
      <c r="G128" s="186"/>
    </row>
    <row r="129" spans="1:22" ht="15" thickBot="1">
      <c r="A129" s="425">
        <f>Calculadora!B3</f>
        <v>4</v>
      </c>
      <c r="C129" s="425">
        <f>Calculadora!B3*-1</f>
        <v>-4</v>
      </c>
      <c r="D129" s="186"/>
      <c r="F129" s="187"/>
      <c r="G129" s="186"/>
    </row>
    <row r="130" spans="1:22" ht="15" thickBot="1">
      <c r="A130" s="427">
        <f>Calculadora!B4</f>
        <v>72</v>
      </c>
      <c r="C130" s="427">
        <f>Calculadora!B4</f>
        <v>72</v>
      </c>
      <c r="D130" s="186"/>
      <c r="F130" s="187"/>
      <c r="G130" s="186"/>
      <c r="Q130" s="180" t="s">
        <v>237</v>
      </c>
      <c r="R130" s="181"/>
    </row>
    <row r="131" spans="1:22" ht="13.5" thickBot="1">
      <c r="A131" s="427">
        <f>Calculadora!B5</f>
        <v>0</v>
      </c>
      <c r="C131" s="427">
        <f>Calculadora!B5</f>
        <v>0</v>
      </c>
      <c r="Q131" s="182" t="s">
        <v>21</v>
      </c>
      <c r="R131" s="178">
        <f>0.65*POWER(1.012,O$81-$A$127)</f>
        <v>0.90181701456040431</v>
      </c>
      <c r="T131" s="182"/>
      <c r="U131" s="182" t="s">
        <v>21</v>
      </c>
      <c r="V131" s="178">
        <f>0.65*POWER(1.012,S$81-$C$127)</f>
        <v>0.90181701456040431</v>
      </c>
    </row>
    <row r="132" spans="1:22" ht="13.5" thickBot="1">
      <c r="A132" s="427">
        <f>Calculadora!B6</f>
        <v>0</v>
      </c>
      <c r="C132" s="427">
        <f>Calculadora!B6</f>
        <v>0</v>
      </c>
      <c r="Q132" s="182" t="s">
        <v>49</v>
      </c>
      <c r="R132" s="178">
        <f>0.65*POWER(1.01,O$81-$A$127)</f>
        <v>0.85415181286361874</v>
      </c>
      <c r="T132" s="428"/>
      <c r="U132" s="182" t="s">
        <v>49</v>
      </c>
      <c r="V132" s="178">
        <f>0.65*POWER(1.01,S$81-$C$127)</f>
        <v>0.85415181286361874</v>
      </c>
    </row>
    <row r="133" spans="1:22" ht="13.5" thickBot="1">
      <c r="A133" s="427">
        <f>Calculadora!B7*100</f>
        <v>100</v>
      </c>
      <c r="C133" s="426">
        <f>Calculadora!B7*100</f>
        <v>100</v>
      </c>
      <c r="Q133" s="183" t="s">
        <v>238</v>
      </c>
      <c r="R133" s="179">
        <f>$A$128*(IF($A$128&gt;0,R131,R132))</f>
        <v>0.77556263252194768</v>
      </c>
      <c r="T133" s="428"/>
      <c r="U133" s="183" t="s">
        <v>238</v>
      </c>
      <c r="V133" s="179">
        <f>$C$128*(IF($C$128&gt;0,V131,V132))</f>
        <v>0.77556263252194768</v>
      </c>
    </row>
    <row r="134" spans="1:22" ht="15" thickBot="1">
      <c r="A134" s="429">
        <f>SIN(RADIANS(A130))</f>
        <v>0.95105651629515353</v>
      </c>
      <c r="C134" s="430">
        <f>SIN(RADIANS(C130))</f>
        <v>0.95105651629515353</v>
      </c>
      <c r="Q134" s="184" t="s">
        <v>239</v>
      </c>
      <c r="R134" s="183">
        <f>LOOKUP($A$127,O3:O123,Q3:Q123)</f>
        <v>0.72399062109134749</v>
      </c>
      <c r="T134" s="428"/>
      <c r="U134" s="184" t="s">
        <v>239</v>
      </c>
      <c r="V134" s="183">
        <f>LOOKUP($C$127,S3:S123,U3:U123)</f>
        <v>0.72399062109134749</v>
      </c>
    </row>
    <row r="135" spans="1:22" ht="15" thickBot="1">
      <c r="A135" s="431">
        <f>COS(RADIANS(A130))</f>
        <v>0.30901699437494745</v>
      </c>
      <c r="C135" s="431">
        <f>COS(RADIANS(C130))</f>
        <v>0.30901699437494745</v>
      </c>
      <c r="Q135" s="175" t="s">
        <v>240</v>
      </c>
      <c r="R135" s="178">
        <f>A137*R134</f>
        <v>0.89490162274119855</v>
      </c>
      <c r="T135" s="428"/>
      <c r="U135" s="175" t="s">
        <v>240</v>
      </c>
      <c r="V135" s="178">
        <f>C137*V134</f>
        <v>-0.89490162274119855</v>
      </c>
    </row>
    <row r="136" spans="1:22" ht="15" thickBot="1">
      <c r="A136" s="432">
        <f>IF(A129&lt;0,-A129*A134,A129*A134)</f>
        <v>3.8042260651806141</v>
      </c>
      <c r="C136" s="433">
        <f>IF(C129&lt;0,-C129*C134,C129*C134)</f>
        <v>3.8042260651806141</v>
      </c>
      <c r="Q136" s="176" t="s">
        <v>241</v>
      </c>
      <c r="R136" s="176">
        <f>R135*0.95</f>
        <v>0.85015654160413856</v>
      </c>
      <c r="T136" s="428"/>
      <c r="U136" s="176" t="s">
        <v>241</v>
      </c>
      <c r="V136" s="176">
        <f>V135*0.95</f>
        <v>-0.85015654160413856</v>
      </c>
    </row>
    <row r="137" spans="1:22" ht="15" thickBot="1">
      <c r="A137" s="432">
        <f>A135*A129</f>
        <v>1.2360679774997898</v>
      </c>
      <c r="C137" s="433">
        <f>C135*C129</f>
        <v>-1.2360679774997898</v>
      </c>
      <c r="Q137" s="176" t="s">
        <v>242</v>
      </c>
      <c r="R137" s="176">
        <f>R135*1.3</f>
        <v>1.1633721095635581</v>
      </c>
      <c r="T137" s="428"/>
      <c r="U137" s="176" t="s">
        <v>242</v>
      </c>
      <c r="V137" s="176">
        <f>V135*1.3</f>
        <v>-1.1633721095635581</v>
      </c>
    </row>
    <row r="138" spans="1:22">
      <c r="Q138" s="179" t="s">
        <v>243</v>
      </c>
      <c r="R138" s="179">
        <f>IF(A137&lt;0,R137,R136)*(1-($A128*0.014))</f>
        <v>0.8399206568432247</v>
      </c>
      <c r="T138" s="428"/>
      <c r="U138" s="179" t="s">
        <v>243</v>
      </c>
      <c r="V138" s="179">
        <f>IF(C137&lt;0,V137,V136)*(1-($A128*0.014))</f>
        <v>-1.1493651093644128</v>
      </c>
    </row>
    <row r="139" spans="1:22">
      <c r="Q139" s="179" t="s">
        <v>244</v>
      </c>
      <c r="R139" s="179">
        <f>$A$127+R133-R138</f>
        <v>131.48564197567873</v>
      </c>
      <c r="T139" s="428"/>
      <c r="U139" s="179" t="s">
        <v>244</v>
      </c>
      <c r="V139" s="179">
        <f>$C$127+V133-V138</f>
        <v>133.47492774188638</v>
      </c>
    </row>
    <row r="140" spans="1:22">
      <c r="A140" s="434">
        <f>Calculadora!B5</f>
        <v>0</v>
      </c>
      <c r="Q140" s="182" t="s">
        <v>245</v>
      </c>
      <c r="R140" s="176">
        <f>LOOKUP(ROUNDUP(R139,0),O3:O123,P3:P123)</f>
        <v>88.750000000000099</v>
      </c>
      <c r="T140" s="428"/>
      <c r="U140" s="182" t="s">
        <v>245</v>
      </c>
      <c r="V140" s="176">
        <f>LOOKUP(ROUNDUP(V139,0),S3:S123,T3:T123)</f>
        <v>89.583333333333442</v>
      </c>
    </row>
    <row r="141" spans="1:22">
      <c r="Q141" s="182" t="s">
        <v>246</v>
      </c>
      <c r="R141" s="176">
        <f>LOOKUP(ROUNDDOWN(R139,0),O3:O123,P3:P123)</f>
        <v>88.333333333333428</v>
      </c>
      <c r="T141" s="428"/>
      <c r="U141" s="182" t="s">
        <v>246</v>
      </c>
      <c r="V141" s="176">
        <f>LOOKUP(ROUNDDOWN(V139,0),S3:S123,T3:T123)</f>
        <v>89.166666666666771</v>
      </c>
    </row>
    <row r="142" spans="1:22">
      <c r="Q142" s="182" t="s">
        <v>247</v>
      </c>
      <c r="R142" s="176">
        <f>ROUNDUP(R139,0)-R139</f>
        <v>0.5143580243212682</v>
      </c>
      <c r="T142" s="428"/>
      <c r="U142" s="182" t="s">
        <v>247</v>
      </c>
      <c r="V142" s="176">
        <f>ROUNDUP(V139,0)-V139</f>
        <v>0.52507225811362446</v>
      </c>
    </row>
    <row r="143" spans="1:22">
      <c r="E143" s="43"/>
      <c r="Q143" s="183" t="s">
        <v>235</v>
      </c>
      <c r="R143" s="183">
        <f>R140-(R140-R141)*R142</f>
        <v>88.535684156532895</v>
      </c>
      <c r="T143" s="428"/>
      <c r="U143" s="183" t="s">
        <v>235</v>
      </c>
      <c r="V143" s="183">
        <f>V140-(V140-V141)*V142</f>
        <v>89.364553225786096</v>
      </c>
    </row>
    <row r="144" spans="1:22" ht="13.5" thickBot="1">
      <c r="Q144" s="178" t="s">
        <v>248</v>
      </c>
      <c r="R144" s="176">
        <f>1-(R133*0.017)</f>
        <v>0.98681543524712689</v>
      </c>
      <c r="T144" s="428"/>
      <c r="U144" s="178" t="s">
        <v>248</v>
      </c>
      <c r="V144" s="176">
        <f>1-(V133*0.017)</f>
        <v>0.98681543524712689</v>
      </c>
    </row>
    <row r="145" spans="1:22" ht="13.5" thickBot="1">
      <c r="A145" s="435" t="s">
        <v>43</v>
      </c>
      <c r="B145" s="44" t="s">
        <v>192</v>
      </c>
      <c r="C145" s="436" t="s">
        <v>44</v>
      </c>
      <c r="Q145" s="178" t="s">
        <v>249</v>
      </c>
      <c r="R145" s="176">
        <f>1-(R133*0.018)</f>
        <v>0.98603987261460491</v>
      </c>
      <c r="T145" s="428"/>
      <c r="U145" s="178" t="s">
        <v>249</v>
      </c>
      <c r="V145" s="176">
        <f>1-(V133*0.018)</f>
        <v>0.98603987261460491</v>
      </c>
    </row>
    <row r="146" spans="1:22" ht="13.5" thickBot="1">
      <c r="A146" s="437">
        <f>Calculadora!B1</f>
        <v>131.55000000000001</v>
      </c>
      <c r="B146" s="287"/>
      <c r="C146" s="438">
        <f>Calculadora!B1</f>
        <v>131.55000000000001</v>
      </c>
      <c r="Q146" s="183" t="s">
        <v>250</v>
      </c>
      <c r="R146" s="179">
        <f>IF($A$128&gt;0,R144,R145)</f>
        <v>0.98681543524712689</v>
      </c>
      <c r="T146" s="428"/>
      <c r="U146" s="183" t="s">
        <v>250</v>
      </c>
      <c r="V146" s="179">
        <f>IF($C$128&gt;0,V144,V145)</f>
        <v>0.98681543524712689</v>
      </c>
    </row>
    <row r="147" spans="1:22" ht="13.5" thickBot="1">
      <c r="A147" s="437">
        <f>A146-A128</f>
        <v>130.69</v>
      </c>
      <c r="B147" s="87"/>
      <c r="C147" s="439">
        <f>C146-C128</f>
        <v>130.69</v>
      </c>
      <c r="Q147" s="176" t="s">
        <v>251</v>
      </c>
      <c r="R147" s="176">
        <f>LOOKUP(R143,P3:P123)</f>
        <v>88.333333333333428</v>
      </c>
      <c r="T147" s="428"/>
      <c r="U147" s="176" t="s">
        <v>251</v>
      </c>
      <c r="V147" s="176">
        <f>LOOKUP(V143,T3:T123)</f>
        <v>89.166666666666771</v>
      </c>
    </row>
    <row r="148" spans="1:22" ht="13.5" thickBot="1">
      <c r="A148" s="437">
        <f>A136/160</f>
        <v>2.3776412907378839E-2</v>
      </c>
      <c r="B148" s="87"/>
      <c r="C148" s="439">
        <f>C136/160</f>
        <v>2.3776412907378839E-2</v>
      </c>
      <c r="Q148" s="176" t="s">
        <v>252</v>
      </c>
      <c r="R148" s="176">
        <f>(R143-R147)</f>
        <v>0.20235082319946684</v>
      </c>
      <c r="T148" s="428"/>
      <c r="U148" s="176" t="s">
        <v>252</v>
      </c>
      <c r="V148" s="176">
        <f>(V143-V147)</f>
        <v>0.19788655911932551</v>
      </c>
    </row>
    <row r="149" spans="1:22" ht="13.5" thickBot="1">
      <c r="A149" s="440">
        <f>A147*A148</f>
        <v>3.1073394028653403</v>
      </c>
      <c r="B149" s="87"/>
      <c r="C149" s="441">
        <f>C147*C148</f>
        <v>3.1073394028653403</v>
      </c>
      <c r="Q149" s="176" t="s">
        <v>253</v>
      </c>
      <c r="R149" s="176">
        <f>(P123-P122)</f>
        <v>0.4166666666666714</v>
      </c>
      <c r="T149" s="428"/>
      <c r="U149" s="176" t="s">
        <v>253</v>
      </c>
      <c r="V149" s="176">
        <f>(T123-T122)</f>
        <v>0.4166666666666714</v>
      </c>
    </row>
    <row r="150" spans="1:22" ht="13.5" thickBot="1">
      <c r="A150" s="437">
        <f>IF(A137&gt;0,(A146*A137)/100,(A146*A137)/140)</f>
        <v>1.6260474244009737</v>
      </c>
      <c r="B150" s="87"/>
      <c r="C150" s="442">
        <f>IF(C137&gt;0,(C146*C137)/100,(C146*C137)/140)</f>
        <v>-1.1614624460006955</v>
      </c>
      <c r="Q150" s="176" t="s">
        <v>254</v>
      </c>
      <c r="R150" s="176">
        <f>R148/R149</f>
        <v>0.48564197567871492</v>
      </c>
      <c r="T150" s="428"/>
      <c r="U150" s="176" t="s">
        <v>254</v>
      </c>
      <c r="V150" s="176">
        <f>V148/V149</f>
        <v>0.47492774188637582</v>
      </c>
    </row>
    <row r="151" spans="1:22" ht="13.5" thickBot="1">
      <c r="A151" s="437">
        <f>1+(100-A133)*0.009</f>
        <v>1</v>
      </c>
      <c r="B151" s="87"/>
      <c r="C151" s="439">
        <f>1+(100-C133)*0.009</f>
        <v>1</v>
      </c>
      <c r="Q151" s="176" t="s">
        <v>255</v>
      </c>
      <c r="R151" s="176">
        <f>LOOKUP(R143,P3:P123,Q3:Q123)</f>
        <v>0.72399062109134749</v>
      </c>
      <c r="T151" s="428"/>
      <c r="U151" s="176" t="s">
        <v>255</v>
      </c>
      <c r="V151" s="176">
        <f>LOOKUP(V143,T3:T123,U3:U123)</f>
        <v>0.74304787975386266</v>
      </c>
    </row>
    <row r="152" spans="1:22" ht="13.5" thickBot="1">
      <c r="A152" s="443">
        <f>1.6-(A127*0.015)</f>
        <v>-0.37325000000000008</v>
      </c>
      <c r="B152" s="87"/>
      <c r="C152" s="439">
        <f>1.6-(C127*0.015)</f>
        <v>-0.37325000000000008</v>
      </c>
      <c r="Q152" s="176" t="s">
        <v>256</v>
      </c>
      <c r="R152" s="176">
        <f>LOOKUP(R143+R149,P3:P123,Q3:Q123)</f>
        <v>0.73345574530643687</v>
      </c>
      <c r="T152" s="428"/>
      <c r="U152" s="176" t="s">
        <v>256</v>
      </c>
      <c r="V152" s="176">
        <f>LOOKUP(V143+V149,T3:T123,U3:U123)</f>
        <v>0.75276791991922865</v>
      </c>
    </row>
    <row r="153" spans="1:22" ht="13.5" thickBot="1">
      <c r="A153" s="439">
        <f>1.2-(A127*0.015)</f>
        <v>-0.77325000000000021</v>
      </c>
      <c r="B153" s="87"/>
      <c r="C153" s="439">
        <f>1.2-(C127*0.015)</f>
        <v>-0.77325000000000021</v>
      </c>
      <c r="Q153" s="179" t="s">
        <v>257</v>
      </c>
      <c r="R153" s="185">
        <f>(((R152-R151)*R150)+R151)*R146</f>
        <v>0.71898117650812943</v>
      </c>
      <c r="T153" s="428"/>
      <c r="U153" s="179" t="s">
        <v>257</v>
      </c>
      <c r="V153" s="185">
        <f>(((V152-V151)*V150)+V151)*V146</f>
        <v>0.7378065694687409</v>
      </c>
    </row>
    <row r="154" spans="1:22" ht="13.5" thickBot="1">
      <c r="A154" s="443">
        <f>IF(A128&gt;0,A128*A152,A128*A153)</f>
        <v>-0.32099500000000009</v>
      </c>
      <c r="B154" s="87"/>
      <c r="C154" s="439">
        <f>IF(C128&gt;0,C128*C152,C128*C153)</f>
        <v>-0.32099500000000009</v>
      </c>
      <c r="Q154" s="176" t="s">
        <v>258</v>
      </c>
      <c r="R154" s="176">
        <f>$A$140*$A$131*R134</f>
        <v>0</v>
      </c>
      <c r="T154" s="428"/>
      <c r="U154" s="176" t="s">
        <v>258</v>
      </c>
      <c r="V154" s="176">
        <f>$A$140*$C$131*V134</f>
        <v>0</v>
      </c>
    </row>
    <row r="155" spans="1:22" ht="13.5" thickBot="1">
      <c r="A155" s="439">
        <f>((A146+A154)*A151)-A150</f>
        <v>129.60295757559902</v>
      </c>
      <c r="B155" s="87"/>
      <c r="C155" s="439">
        <f>((C146+C154)*C151)-C150</f>
        <v>132.39046744600068</v>
      </c>
      <c r="Q155" s="184" t="s">
        <v>259</v>
      </c>
      <c r="R155" s="184">
        <f>(R153*A136)+$A132+R154</f>
        <v>2.7351669320464498</v>
      </c>
      <c r="T155" s="428"/>
      <c r="U155" s="184" t="s">
        <v>259</v>
      </c>
      <c r="V155" s="184">
        <f>(V153*C136)+$C132+V154</f>
        <v>2.8067829826344757</v>
      </c>
    </row>
    <row r="156" spans="1:22" ht="13.5" thickBot="1">
      <c r="A156" s="444">
        <f>(A155-3)</f>
        <v>126.60295757559902</v>
      </c>
      <c r="B156" s="286"/>
      <c r="C156" s="444">
        <f>(C155-3)</f>
        <v>129.39046744600068</v>
      </c>
    </row>
  </sheetData>
  <mergeCells count="1">
    <mergeCell ref="O1:T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365"/>
  <sheetViews>
    <sheetView showGridLines="0" showRowColHeaders="0" workbookViewId="0">
      <selection activeCell="C3" sqref="C3"/>
    </sheetView>
  </sheetViews>
  <sheetFormatPr defaultRowHeight="12.75"/>
  <cols>
    <col min="1" max="1" width="12.7109375" style="478" customWidth="1"/>
    <col min="2" max="2" width="14.42578125" style="478" customWidth="1"/>
    <col min="3" max="6" width="9.140625" style="478"/>
    <col min="7" max="8" width="9.140625" style="483"/>
    <col min="9" max="9" width="9.140625" style="478"/>
    <col min="10" max="10" width="10.5703125" style="478" bestFit="1" customWidth="1"/>
    <col min="11" max="16384" width="9.140625" style="478"/>
  </cols>
  <sheetData>
    <row r="1" spans="1:17">
      <c r="A1" s="1000" t="s">
        <v>406</v>
      </c>
      <c r="B1" s="1000"/>
      <c r="C1" s="470"/>
      <c r="D1" s="471">
        <v>100</v>
      </c>
      <c r="E1" s="472">
        <v>5</v>
      </c>
      <c r="F1" s="473"/>
      <c r="G1" s="474" t="s">
        <v>8</v>
      </c>
      <c r="H1" s="474"/>
      <c r="I1" s="475"/>
      <c r="J1" s="195"/>
      <c r="K1" s="476"/>
      <c r="L1" s="476"/>
      <c r="M1" s="476"/>
      <c r="N1" s="476"/>
      <c r="O1" s="477"/>
      <c r="P1" s="476"/>
      <c r="Q1" s="475"/>
    </row>
    <row r="2" spans="1:17" ht="14.25">
      <c r="A2" s="476" t="s">
        <v>405</v>
      </c>
      <c r="B2" s="479">
        <f>IF(Calculadora!B17&gt;4.33,5,Calculadora!B18/4)</f>
        <v>1.1547344110854503</v>
      </c>
      <c r="C2" s="470"/>
      <c r="D2" s="480">
        <v>90</v>
      </c>
      <c r="E2" s="480">
        <v>4</v>
      </c>
      <c r="F2" s="480"/>
      <c r="G2" s="481">
        <v>280</v>
      </c>
      <c r="H2" s="481">
        <v>6</v>
      </c>
      <c r="J2" s="482"/>
      <c r="K2" s="476"/>
      <c r="L2" s="483"/>
      <c r="M2" s="483"/>
      <c r="N2" s="473"/>
      <c r="O2" s="476"/>
      <c r="P2" s="475"/>
      <c r="Q2" s="475"/>
    </row>
    <row r="3" spans="1:17">
      <c r="A3" s="475" t="s">
        <v>46</v>
      </c>
      <c r="B3" s="484">
        <f>INDEX(H5:H365,(ROUNDDOWN(((B4)/(20/72))+1,0)),1)</f>
        <v>171.88888888888977</v>
      </c>
      <c r="C3" s="484">
        <f>INDEX(I5:I365,(ROUNDDOWN(((B4)/(20/72))+1,0)),1)</f>
        <v>181.71111111111239</v>
      </c>
      <c r="D3" s="471">
        <v>80</v>
      </c>
      <c r="E3" s="472">
        <v>3</v>
      </c>
      <c r="G3" s="486"/>
      <c r="H3" s="486"/>
      <c r="J3" s="483"/>
      <c r="K3" s="476"/>
      <c r="L3" s="483"/>
      <c r="M3" s="483"/>
      <c r="N3" s="480"/>
      <c r="O3" s="476"/>
      <c r="P3" s="475"/>
      <c r="Q3" s="484"/>
    </row>
    <row r="4" spans="1:17">
      <c r="A4" s="475" t="s">
        <v>8</v>
      </c>
      <c r="B4" s="487">
        <f>D1*(B2-E2)*(B2-E3)*(B2-E4)*(B2-E5)*(B2-E6)*(B2-E7)/((E1-E2)*(E1-E3)*(E1-E4)*(E1-E5)*(E1-E6)*(E1-E7))+D2*(B2-E1)*(B2-E3)*(B2-E4)*(B2-E5)*(B2-E6)*(B2-E7)/((E2-E1)*(E2-E3)*(E2-E4)*(E2-E5)*(E2-E6)*(E2-E7))+D3*(B2-E1)*(B2-E2)*(B2-E4)*(B2-E5)*(B2-E6)*(B2-E7)/((E3-E1)*(E3-E2)*(E3-E4)*(E3-E5)*(E3-E6)*(E3-E7))+D4*(B2-E1)*(B2-E2)*(B2-E3)*(B2-E5)*(B2-E6)*(B2-E7)/((E4-E1)*(E4-E2)*(E4-E3)*(E4-E5)*(E4-E6)*(E4-E7))+D5*(B2-E1)*(B2-E2)*(B2-E3)*(B2-E4)*(B2-E6)*(B2-E7)/((E5-E1)*(E5-E2)*(E5-E3)*(E5-E4)*(E5-E6)*(E5-E7))+D6*(B2-E1)*(B2-E2)*(B2-E3)*(B2-E4)*(B2-E5)*(B2-E7)/((E6-E1)*(E6-E2)*(E6-E3)*(E6-E4)*(E6-E5)*(E6-E7))+D7*(B2-E1)*(B2-E2)*(B2-E3)*(B2-E4)*(B2-E5)*(B2-E6)/((E7-E1)*(E7-E2)*(E7-E3)*(E7-E4)*(E7-E5)*(E7-E6))</f>
        <v>61.54734411085451</v>
      </c>
      <c r="C4" s="485"/>
      <c r="D4" s="480">
        <v>70</v>
      </c>
      <c r="E4" s="480">
        <v>2</v>
      </c>
      <c r="G4" s="488" t="s">
        <v>135</v>
      </c>
      <c r="H4" s="489" t="s">
        <v>194</v>
      </c>
      <c r="I4" s="494" t="s">
        <v>195</v>
      </c>
      <c r="J4" s="479"/>
      <c r="K4" s="480"/>
      <c r="L4" s="483"/>
      <c r="M4" s="483"/>
      <c r="N4" s="476"/>
      <c r="O4" s="476"/>
      <c r="P4" s="475"/>
      <c r="Q4" s="483"/>
    </row>
    <row r="5" spans="1:17">
      <c r="C5" s="476"/>
      <c r="D5" s="471">
        <v>60</v>
      </c>
      <c r="E5" s="472">
        <v>1</v>
      </c>
      <c r="F5" s="476"/>
      <c r="G5" s="491">
        <f t="shared" ref="G5:G68" si="0">G6-0.00277777777777777</f>
        <v>2.4103982698697735E-15</v>
      </c>
      <c r="H5" s="492">
        <f>H6-(H$365*0.2/72)</f>
        <v>1.6935342017632138E-12</v>
      </c>
      <c r="I5" s="494">
        <f t="shared" ref="I5:I68" si="1">I6-(I$365*0.2/72)</f>
        <v>1.1437517599688363E-12</v>
      </c>
      <c r="J5" s="195"/>
      <c r="K5" s="480"/>
      <c r="L5" s="483"/>
      <c r="M5" s="483"/>
      <c r="N5" s="480"/>
      <c r="O5" s="476"/>
      <c r="P5" s="195"/>
      <c r="Q5" s="195"/>
    </row>
    <row r="6" spans="1:17">
      <c r="A6" s="490"/>
      <c r="B6" s="484"/>
      <c r="C6" s="485"/>
      <c r="D6" s="480">
        <v>50</v>
      </c>
      <c r="E6" s="480">
        <v>0</v>
      </c>
      <c r="F6" s="480"/>
      <c r="G6" s="491">
        <f t="shared" si="0"/>
        <v>2.7777777777801805E-3</v>
      </c>
      <c r="H6" s="492">
        <f t="shared" ref="H6:I69" si="2">H7-(H$365*0.2/72)</f>
        <v>0.77777777777947132</v>
      </c>
      <c r="I6" s="494">
        <f t="shared" si="1"/>
        <v>0.82222222222336605</v>
      </c>
      <c r="J6" s="195"/>
      <c r="K6" s="476"/>
      <c r="L6" s="483"/>
      <c r="M6" s="483"/>
      <c r="N6" s="476"/>
      <c r="O6" s="476"/>
      <c r="P6" s="195"/>
      <c r="Q6" s="195"/>
    </row>
    <row r="7" spans="1:17">
      <c r="A7" s="490"/>
      <c r="B7" s="490"/>
      <c r="C7" s="480"/>
      <c r="D7" s="480">
        <v>40</v>
      </c>
      <c r="E7" s="480">
        <v>-1</v>
      </c>
      <c r="F7" s="480"/>
      <c r="G7" s="491">
        <f t="shared" si="0"/>
        <v>5.5555555555579506E-3</v>
      </c>
      <c r="H7" s="492">
        <f t="shared" si="2"/>
        <v>1.5555555555572491</v>
      </c>
      <c r="I7" s="494">
        <f t="shared" si="1"/>
        <v>1.6444444444455883</v>
      </c>
      <c r="J7" s="195"/>
      <c r="K7" s="480"/>
      <c r="L7" s="483"/>
      <c r="M7" s="483"/>
      <c r="N7" s="480"/>
      <c r="O7" s="476"/>
      <c r="P7" s="195"/>
      <c r="Q7" s="195"/>
    </row>
    <row r="8" spans="1:17">
      <c r="B8" s="493"/>
      <c r="C8" s="480"/>
      <c r="D8" s="480"/>
      <c r="E8" s="480"/>
      <c r="G8" s="491">
        <f t="shared" si="0"/>
        <v>8.3333333333357202E-3</v>
      </c>
      <c r="H8" s="492">
        <f t="shared" si="2"/>
        <v>2.3333333333350268</v>
      </c>
      <c r="I8" s="494">
        <f t="shared" si="1"/>
        <v>2.4666666666678108</v>
      </c>
      <c r="J8" s="195"/>
      <c r="K8" s="480"/>
      <c r="L8" s="483"/>
      <c r="M8" s="483"/>
      <c r="N8" s="480"/>
      <c r="O8" s="476"/>
      <c r="P8" s="195"/>
      <c r="Q8" s="195"/>
    </row>
    <row r="9" spans="1:17">
      <c r="C9" s="480"/>
      <c r="D9" s="480"/>
      <c r="E9" s="480"/>
      <c r="G9" s="491">
        <f t="shared" si="0"/>
        <v>1.111111111111349E-2</v>
      </c>
      <c r="H9" s="492">
        <f t="shared" si="2"/>
        <v>3.1111111111128045</v>
      </c>
      <c r="I9" s="494">
        <f t="shared" si="1"/>
        <v>3.2888888888900332</v>
      </c>
    </row>
    <row r="10" spans="1:17">
      <c r="C10" s="480"/>
      <c r="D10" s="480"/>
      <c r="E10" s="480"/>
      <c r="G10" s="491">
        <f t="shared" si="0"/>
        <v>1.3888888888891259E-2</v>
      </c>
      <c r="H10" s="492">
        <f t="shared" si="2"/>
        <v>3.8888888888905822</v>
      </c>
      <c r="I10" s="494">
        <f t="shared" si="1"/>
        <v>4.1111111111122556</v>
      </c>
    </row>
    <row r="11" spans="1:17">
      <c r="C11" s="480"/>
      <c r="D11" s="480"/>
      <c r="E11" s="480"/>
      <c r="G11" s="491">
        <f t="shared" si="0"/>
        <v>1.6666666666669029E-2</v>
      </c>
      <c r="H11" s="492">
        <f t="shared" si="2"/>
        <v>4.6666666666683598</v>
      </c>
      <c r="I11" s="494">
        <f t="shared" si="1"/>
        <v>4.9333333333344775</v>
      </c>
    </row>
    <row r="12" spans="1:17">
      <c r="D12" s="483"/>
      <c r="E12" s="483"/>
      <c r="G12" s="491">
        <f t="shared" si="0"/>
        <v>1.9444444444446801E-2</v>
      </c>
      <c r="H12" s="492">
        <f t="shared" si="2"/>
        <v>5.4444444444461375</v>
      </c>
      <c r="I12" s="494">
        <f t="shared" si="1"/>
        <v>5.7555555555566995</v>
      </c>
    </row>
    <row r="13" spans="1:17">
      <c r="G13" s="491">
        <f t="shared" si="0"/>
        <v>2.2222222222224572E-2</v>
      </c>
      <c r="H13" s="492">
        <f t="shared" si="2"/>
        <v>6.2222222222239152</v>
      </c>
      <c r="I13" s="494">
        <f t="shared" si="1"/>
        <v>6.5777777777789215</v>
      </c>
    </row>
    <row r="14" spans="1:17">
      <c r="G14" s="491">
        <f t="shared" si="0"/>
        <v>2.5000000000002343E-2</v>
      </c>
      <c r="H14" s="492">
        <f t="shared" si="2"/>
        <v>7.0000000000016929</v>
      </c>
      <c r="I14" s="494">
        <f t="shared" si="1"/>
        <v>7.4000000000011434</v>
      </c>
    </row>
    <row r="15" spans="1:17">
      <c r="G15" s="491">
        <f t="shared" si="0"/>
        <v>2.7777777777780115E-2</v>
      </c>
      <c r="H15" s="492">
        <f t="shared" si="2"/>
        <v>7.7777777777794705</v>
      </c>
      <c r="I15" s="494">
        <f t="shared" si="1"/>
        <v>8.2222222222233654</v>
      </c>
    </row>
    <row r="16" spans="1:17">
      <c r="G16" s="491">
        <f t="shared" si="0"/>
        <v>3.0555555555557886E-2</v>
      </c>
      <c r="H16" s="492">
        <f t="shared" si="2"/>
        <v>8.5555555555572482</v>
      </c>
      <c r="I16" s="494">
        <f t="shared" si="1"/>
        <v>9.0444444444455883</v>
      </c>
    </row>
    <row r="17" spans="7:9">
      <c r="G17" s="491">
        <f t="shared" si="0"/>
        <v>3.3333333333335657E-2</v>
      </c>
      <c r="H17" s="492">
        <f t="shared" si="2"/>
        <v>9.3333333333350268</v>
      </c>
      <c r="I17" s="494">
        <f t="shared" si="1"/>
        <v>9.8666666666678111</v>
      </c>
    </row>
    <row r="18" spans="7:9">
      <c r="G18" s="491">
        <f t="shared" si="0"/>
        <v>3.6111111111113425E-2</v>
      </c>
      <c r="H18" s="492">
        <f t="shared" si="2"/>
        <v>10.111111111112805</v>
      </c>
      <c r="I18" s="494">
        <f t="shared" si="1"/>
        <v>10.688888888890034</v>
      </c>
    </row>
    <row r="19" spans="7:9">
      <c r="G19" s="491">
        <f t="shared" si="0"/>
        <v>3.8888888888891193E-2</v>
      </c>
      <c r="H19" s="492">
        <f t="shared" si="2"/>
        <v>10.888888888890584</v>
      </c>
      <c r="I19" s="494">
        <f t="shared" si="1"/>
        <v>11.511111111112257</v>
      </c>
    </row>
    <row r="20" spans="7:9">
      <c r="G20" s="491">
        <f t="shared" si="0"/>
        <v>4.1666666666668961E-2</v>
      </c>
      <c r="H20" s="492">
        <f t="shared" si="2"/>
        <v>11.666666666668362</v>
      </c>
      <c r="I20" s="494">
        <f t="shared" si="1"/>
        <v>12.33333333333448</v>
      </c>
    </row>
    <row r="21" spans="7:9">
      <c r="G21" s="491">
        <f t="shared" si="0"/>
        <v>4.4444444444446729E-2</v>
      </c>
      <c r="H21" s="492">
        <f t="shared" si="2"/>
        <v>12.444444444446141</v>
      </c>
      <c r="I21" s="494">
        <f t="shared" si="1"/>
        <v>13.155555555556703</v>
      </c>
    </row>
    <row r="22" spans="7:9">
      <c r="G22" s="491">
        <f t="shared" si="0"/>
        <v>4.7222222222224497E-2</v>
      </c>
      <c r="H22" s="492">
        <f t="shared" si="2"/>
        <v>13.22222222222392</v>
      </c>
      <c r="I22" s="494">
        <f t="shared" si="1"/>
        <v>13.977777777778925</v>
      </c>
    </row>
    <row r="23" spans="7:9">
      <c r="G23" s="491">
        <f t="shared" si="0"/>
        <v>5.0000000000002265E-2</v>
      </c>
      <c r="H23" s="492">
        <f t="shared" si="2"/>
        <v>14.000000000001698</v>
      </c>
      <c r="I23" s="494">
        <f t="shared" si="1"/>
        <v>14.800000000001148</v>
      </c>
    </row>
    <row r="24" spans="7:9">
      <c r="G24" s="491">
        <f t="shared" si="0"/>
        <v>5.2777777777780033E-2</v>
      </c>
      <c r="H24" s="492">
        <f t="shared" si="2"/>
        <v>14.777777777779477</v>
      </c>
      <c r="I24" s="494">
        <f t="shared" si="1"/>
        <v>15.622222222223371</v>
      </c>
    </row>
    <row r="25" spans="7:9">
      <c r="G25" s="491">
        <f t="shared" si="0"/>
        <v>5.5555555555557801E-2</v>
      </c>
      <c r="H25" s="492">
        <f t="shared" si="2"/>
        <v>15.555555555557255</v>
      </c>
      <c r="I25" s="494">
        <f t="shared" si="1"/>
        <v>16.444444444445594</v>
      </c>
    </row>
    <row r="26" spans="7:9">
      <c r="G26" s="491">
        <f t="shared" si="0"/>
        <v>5.8333333333335569E-2</v>
      </c>
      <c r="H26" s="492">
        <f t="shared" si="2"/>
        <v>16.333333333335034</v>
      </c>
      <c r="I26" s="494">
        <f t="shared" si="1"/>
        <v>17.266666666667817</v>
      </c>
    </row>
    <row r="27" spans="7:9">
      <c r="G27" s="491">
        <f t="shared" si="0"/>
        <v>6.1111111111113336E-2</v>
      </c>
      <c r="H27" s="492">
        <f t="shared" si="2"/>
        <v>17.111111111112812</v>
      </c>
      <c r="I27" s="494">
        <f t="shared" si="1"/>
        <v>18.08888888889004</v>
      </c>
    </row>
    <row r="28" spans="7:9">
      <c r="G28" s="491">
        <f t="shared" si="0"/>
        <v>6.3888888888891104E-2</v>
      </c>
      <c r="H28" s="492">
        <f t="shared" si="2"/>
        <v>17.888888888890591</v>
      </c>
      <c r="I28" s="494">
        <f t="shared" si="1"/>
        <v>18.911111111112263</v>
      </c>
    </row>
    <row r="29" spans="7:9">
      <c r="G29" s="491">
        <f t="shared" si="0"/>
        <v>6.6666666666668872E-2</v>
      </c>
      <c r="H29" s="492">
        <f t="shared" si="2"/>
        <v>18.66666666666837</v>
      </c>
      <c r="I29" s="494">
        <f t="shared" si="1"/>
        <v>19.733333333334485</v>
      </c>
    </row>
    <row r="30" spans="7:9">
      <c r="G30" s="491">
        <f t="shared" si="0"/>
        <v>6.944444444444664E-2</v>
      </c>
      <c r="H30" s="492">
        <f t="shared" si="2"/>
        <v>19.444444444446148</v>
      </c>
      <c r="I30" s="494">
        <f t="shared" si="1"/>
        <v>20.555555555556708</v>
      </c>
    </row>
    <row r="31" spans="7:9">
      <c r="G31" s="491">
        <f t="shared" si="0"/>
        <v>7.2222222222224408E-2</v>
      </c>
      <c r="H31" s="492">
        <f t="shared" si="2"/>
        <v>20.222222222223927</v>
      </c>
      <c r="I31" s="494">
        <f t="shared" si="1"/>
        <v>21.377777777778931</v>
      </c>
    </row>
    <row r="32" spans="7:9">
      <c r="G32" s="491">
        <f t="shared" si="0"/>
        <v>7.5000000000002176E-2</v>
      </c>
      <c r="H32" s="492">
        <f t="shared" si="2"/>
        <v>21.000000000001705</v>
      </c>
      <c r="I32" s="494">
        <f t="shared" si="1"/>
        <v>22.200000000001154</v>
      </c>
    </row>
    <row r="33" spans="7:9">
      <c r="G33" s="491">
        <f t="shared" si="0"/>
        <v>7.7777777777779944E-2</v>
      </c>
      <c r="H33" s="492">
        <f t="shared" si="2"/>
        <v>21.777777777779484</v>
      </c>
      <c r="I33" s="494">
        <f t="shared" si="1"/>
        <v>23.022222222223377</v>
      </c>
    </row>
    <row r="34" spans="7:9">
      <c r="G34" s="491">
        <f t="shared" si="0"/>
        <v>8.0555555555557712E-2</v>
      </c>
      <c r="H34" s="492">
        <f t="shared" si="2"/>
        <v>22.555555555557262</v>
      </c>
      <c r="I34" s="494">
        <f t="shared" si="1"/>
        <v>23.8444444444456</v>
      </c>
    </row>
    <row r="35" spans="7:9">
      <c r="G35" s="491">
        <f t="shared" si="0"/>
        <v>8.333333333333548E-2</v>
      </c>
      <c r="H35" s="492">
        <f t="shared" si="2"/>
        <v>23.333333333335041</v>
      </c>
      <c r="I35" s="494">
        <f t="shared" si="1"/>
        <v>24.666666666667822</v>
      </c>
    </row>
    <row r="36" spans="7:9">
      <c r="G36" s="491">
        <f t="shared" si="0"/>
        <v>8.6111111111113248E-2</v>
      </c>
      <c r="H36" s="492">
        <f t="shared" si="2"/>
        <v>24.11111111111282</v>
      </c>
      <c r="I36" s="494">
        <f t="shared" si="1"/>
        <v>25.488888888890045</v>
      </c>
    </row>
    <row r="37" spans="7:9">
      <c r="G37" s="491">
        <f t="shared" si="0"/>
        <v>8.8888888888891016E-2</v>
      </c>
      <c r="H37" s="492">
        <f t="shared" si="2"/>
        <v>24.888888888890598</v>
      </c>
      <c r="I37" s="494">
        <f t="shared" si="1"/>
        <v>26.311111111112268</v>
      </c>
    </row>
    <row r="38" spans="7:9">
      <c r="G38" s="491">
        <f t="shared" si="0"/>
        <v>9.1666666666668783E-2</v>
      </c>
      <c r="H38" s="492">
        <f t="shared" si="2"/>
        <v>25.666666666668377</v>
      </c>
      <c r="I38" s="494">
        <f t="shared" si="1"/>
        <v>27.133333333334491</v>
      </c>
    </row>
    <row r="39" spans="7:9">
      <c r="G39" s="491">
        <f t="shared" si="0"/>
        <v>9.4444444444446551E-2</v>
      </c>
      <c r="H39" s="492">
        <f t="shared" si="2"/>
        <v>26.444444444446155</v>
      </c>
      <c r="I39" s="494">
        <f t="shared" si="1"/>
        <v>27.955555555556714</v>
      </c>
    </row>
    <row r="40" spans="7:9">
      <c r="G40" s="491">
        <f t="shared" si="0"/>
        <v>9.7222222222224319E-2</v>
      </c>
      <c r="H40" s="492">
        <f t="shared" si="2"/>
        <v>27.222222222223934</v>
      </c>
      <c r="I40" s="494">
        <f t="shared" si="1"/>
        <v>28.777777777778937</v>
      </c>
    </row>
    <row r="41" spans="7:9">
      <c r="G41" s="491">
        <f t="shared" si="0"/>
        <v>0.10000000000000209</v>
      </c>
      <c r="H41" s="492">
        <f t="shared" si="2"/>
        <v>28.000000000001712</v>
      </c>
      <c r="I41" s="494">
        <f t="shared" si="1"/>
        <v>29.60000000000116</v>
      </c>
    </row>
    <row r="42" spans="7:9">
      <c r="G42" s="491">
        <f t="shared" si="0"/>
        <v>0.10277777777777986</v>
      </c>
      <c r="H42" s="492">
        <f t="shared" si="2"/>
        <v>28.777777777779491</v>
      </c>
      <c r="I42" s="494">
        <f t="shared" si="1"/>
        <v>30.422222222223382</v>
      </c>
    </row>
    <row r="43" spans="7:9">
      <c r="G43" s="491">
        <f t="shared" si="0"/>
        <v>0.10555555555555762</v>
      </c>
      <c r="H43" s="492">
        <f t="shared" si="2"/>
        <v>29.55555555555727</v>
      </c>
      <c r="I43" s="494">
        <f t="shared" si="1"/>
        <v>31.244444444445605</v>
      </c>
    </row>
    <row r="44" spans="7:9">
      <c r="G44" s="491">
        <f t="shared" si="0"/>
        <v>0.10833333333333539</v>
      </c>
      <c r="H44" s="492">
        <f t="shared" si="2"/>
        <v>30.333333333335048</v>
      </c>
      <c r="I44" s="494">
        <f t="shared" si="1"/>
        <v>32.066666666667828</v>
      </c>
    </row>
    <row r="45" spans="7:9">
      <c r="G45" s="491">
        <f t="shared" si="0"/>
        <v>0.11111111111111316</v>
      </c>
      <c r="H45" s="492">
        <f t="shared" si="2"/>
        <v>31.111111111112827</v>
      </c>
      <c r="I45" s="494">
        <f t="shared" si="1"/>
        <v>32.888888888890051</v>
      </c>
    </row>
    <row r="46" spans="7:9">
      <c r="G46" s="491">
        <f t="shared" si="0"/>
        <v>0.11388888888889093</v>
      </c>
      <c r="H46" s="492">
        <f t="shared" si="2"/>
        <v>31.888888888890605</v>
      </c>
      <c r="I46" s="494">
        <f t="shared" si="1"/>
        <v>33.711111111112274</v>
      </c>
    </row>
    <row r="47" spans="7:9">
      <c r="G47" s="491">
        <f t="shared" si="0"/>
        <v>0.11666666666666869</v>
      </c>
      <c r="H47" s="492">
        <f t="shared" si="2"/>
        <v>32.666666666668384</v>
      </c>
      <c r="I47" s="494">
        <f t="shared" si="1"/>
        <v>34.533333333334497</v>
      </c>
    </row>
    <row r="48" spans="7:9">
      <c r="G48" s="491">
        <f t="shared" si="0"/>
        <v>0.11944444444444646</v>
      </c>
      <c r="H48" s="492">
        <f t="shared" si="2"/>
        <v>33.444444444446162</v>
      </c>
      <c r="I48" s="494">
        <f t="shared" si="1"/>
        <v>35.35555555555672</v>
      </c>
    </row>
    <row r="49" spans="7:9">
      <c r="G49" s="491">
        <f t="shared" si="0"/>
        <v>0.12222222222222423</v>
      </c>
      <c r="H49" s="492">
        <f t="shared" si="2"/>
        <v>34.222222222223941</v>
      </c>
      <c r="I49" s="494">
        <f t="shared" si="1"/>
        <v>36.177777777778942</v>
      </c>
    </row>
    <row r="50" spans="7:9">
      <c r="G50" s="491">
        <f t="shared" si="0"/>
        <v>0.125000000000002</v>
      </c>
      <c r="H50" s="492">
        <f t="shared" si="2"/>
        <v>35.00000000000172</v>
      </c>
      <c r="I50" s="494">
        <f t="shared" si="1"/>
        <v>37.000000000001165</v>
      </c>
    </row>
    <row r="51" spans="7:9">
      <c r="G51" s="491">
        <f t="shared" si="0"/>
        <v>0.12777777777777977</v>
      </c>
      <c r="H51" s="492">
        <f t="shared" si="2"/>
        <v>35.777777777779498</v>
      </c>
      <c r="I51" s="494">
        <f t="shared" si="1"/>
        <v>37.822222222223388</v>
      </c>
    </row>
    <row r="52" spans="7:9">
      <c r="G52" s="491">
        <f t="shared" si="0"/>
        <v>0.13055555555555753</v>
      </c>
      <c r="H52" s="492">
        <f t="shared" si="2"/>
        <v>36.555555555557277</v>
      </c>
      <c r="I52" s="494">
        <f t="shared" si="1"/>
        <v>38.644444444445611</v>
      </c>
    </row>
    <row r="53" spans="7:9">
      <c r="G53" s="491">
        <f t="shared" si="0"/>
        <v>0.1333333333333353</v>
      </c>
      <c r="H53" s="492">
        <f t="shared" si="2"/>
        <v>37.333333333335055</v>
      </c>
      <c r="I53" s="494">
        <f t="shared" si="1"/>
        <v>39.466666666667834</v>
      </c>
    </row>
    <row r="54" spans="7:9">
      <c r="G54" s="491">
        <f t="shared" si="0"/>
        <v>0.13611111111111307</v>
      </c>
      <c r="H54" s="492">
        <f t="shared" si="2"/>
        <v>38.111111111112834</v>
      </c>
      <c r="I54" s="494">
        <f t="shared" si="1"/>
        <v>40.288888888890057</v>
      </c>
    </row>
    <row r="55" spans="7:9">
      <c r="G55" s="491">
        <f t="shared" si="0"/>
        <v>0.13888888888889084</v>
      </c>
      <c r="H55" s="492">
        <f t="shared" si="2"/>
        <v>38.888888888890612</v>
      </c>
      <c r="I55" s="494">
        <f t="shared" si="1"/>
        <v>41.11111111111228</v>
      </c>
    </row>
    <row r="56" spans="7:9">
      <c r="G56" s="491">
        <f t="shared" si="0"/>
        <v>0.14166666666666861</v>
      </c>
      <c r="H56" s="492">
        <f t="shared" si="2"/>
        <v>39.666666666668391</v>
      </c>
      <c r="I56" s="494">
        <f t="shared" si="1"/>
        <v>41.933333333334502</v>
      </c>
    </row>
    <row r="57" spans="7:9">
      <c r="G57" s="491">
        <f t="shared" si="0"/>
        <v>0.14444444444444637</v>
      </c>
      <c r="H57" s="492">
        <f t="shared" si="2"/>
        <v>40.444444444446169</v>
      </c>
      <c r="I57" s="494">
        <f t="shared" si="1"/>
        <v>42.755555555556725</v>
      </c>
    </row>
    <row r="58" spans="7:9">
      <c r="G58" s="491">
        <f t="shared" si="0"/>
        <v>0.14722222222222414</v>
      </c>
      <c r="H58" s="492">
        <f t="shared" si="2"/>
        <v>41.222222222223948</v>
      </c>
      <c r="I58" s="494">
        <f t="shared" si="1"/>
        <v>43.577777777778948</v>
      </c>
    </row>
    <row r="59" spans="7:9">
      <c r="G59" s="491">
        <f t="shared" si="0"/>
        <v>0.15000000000000191</v>
      </c>
      <c r="H59" s="492">
        <f t="shared" si="2"/>
        <v>42.000000000001727</v>
      </c>
      <c r="I59" s="494">
        <f t="shared" si="1"/>
        <v>44.400000000001171</v>
      </c>
    </row>
    <row r="60" spans="7:9">
      <c r="G60" s="491">
        <f t="shared" si="0"/>
        <v>0.15277777777777968</v>
      </c>
      <c r="H60" s="492">
        <f t="shared" si="2"/>
        <v>42.777777777779505</v>
      </c>
      <c r="I60" s="494">
        <f t="shared" si="1"/>
        <v>45.222222222223394</v>
      </c>
    </row>
    <row r="61" spans="7:9">
      <c r="G61" s="491">
        <f t="shared" si="0"/>
        <v>0.15555555555555745</v>
      </c>
      <c r="H61" s="492">
        <f t="shared" si="2"/>
        <v>43.555555555557284</v>
      </c>
      <c r="I61" s="494">
        <f t="shared" si="1"/>
        <v>46.044444444445617</v>
      </c>
    </row>
    <row r="62" spans="7:9">
      <c r="G62" s="491">
        <f t="shared" si="0"/>
        <v>0.15833333333333521</v>
      </c>
      <c r="H62" s="492">
        <f t="shared" si="2"/>
        <v>44.333333333335062</v>
      </c>
      <c r="I62" s="494">
        <f t="shared" si="1"/>
        <v>46.86666666666784</v>
      </c>
    </row>
    <row r="63" spans="7:9">
      <c r="G63" s="491">
        <f t="shared" si="0"/>
        <v>0.16111111111111298</v>
      </c>
      <c r="H63" s="492">
        <f t="shared" si="2"/>
        <v>45.111111111112841</v>
      </c>
      <c r="I63" s="494">
        <f t="shared" si="1"/>
        <v>47.688888888890062</v>
      </c>
    </row>
    <row r="64" spans="7:9">
      <c r="G64" s="491">
        <f t="shared" si="0"/>
        <v>0.16388888888889075</v>
      </c>
      <c r="H64" s="492">
        <f t="shared" si="2"/>
        <v>45.888888888890619</v>
      </c>
      <c r="I64" s="494">
        <f t="shared" si="1"/>
        <v>48.511111111112285</v>
      </c>
    </row>
    <row r="65" spans="7:9">
      <c r="G65" s="491">
        <f t="shared" si="0"/>
        <v>0.16666666666666852</v>
      </c>
      <c r="H65" s="492">
        <f t="shared" si="2"/>
        <v>46.666666666668398</v>
      </c>
      <c r="I65" s="494">
        <f t="shared" si="1"/>
        <v>49.333333333334508</v>
      </c>
    </row>
    <row r="66" spans="7:9">
      <c r="G66" s="491">
        <f t="shared" si="0"/>
        <v>0.16944444444444628</v>
      </c>
      <c r="H66" s="492">
        <f t="shared" si="2"/>
        <v>47.444444444446177</v>
      </c>
      <c r="I66" s="494">
        <f t="shared" si="1"/>
        <v>50.155555555556731</v>
      </c>
    </row>
    <row r="67" spans="7:9">
      <c r="G67" s="491">
        <f t="shared" si="0"/>
        <v>0.17222222222222405</v>
      </c>
      <c r="H67" s="492">
        <f t="shared" si="2"/>
        <v>48.222222222223955</v>
      </c>
      <c r="I67" s="494">
        <f t="shared" si="1"/>
        <v>50.977777777778954</v>
      </c>
    </row>
    <row r="68" spans="7:9">
      <c r="G68" s="491">
        <f t="shared" si="0"/>
        <v>0.17500000000000182</v>
      </c>
      <c r="H68" s="492">
        <f t="shared" si="2"/>
        <v>49.000000000001734</v>
      </c>
      <c r="I68" s="494">
        <f t="shared" si="1"/>
        <v>51.800000000001177</v>
      </c>
    </row>
    <row r="69" spans="7:9">
      <c r="G69" s="491">
        <f t="shared" ref="G69:G132" si="3">G70-0.00277777777777777</f>
        <v>0.17777777777777959</v>
      </c>
      <c r="H69" s="492">
        <f t="shared" si="2"/>
        <v>49.777777777779512</v>
      </c>
      <c r="I69" s="494">
        <f t="shared" si="2"/>
        <v>52.6222222222234</v>
      </c>
    </row>
    <row r="70" spans="7:9">
      <c r="G70" s="491">
        <f t="shared" si="3"/>
        <v>0.18055555555555736</v>
      </c>
      <c r="H70" s="492">
        <f t="shared" ref="H70:I133" si="4">H71-(H$365*0.2/72)</f>
        <v>50.555555555557291</v>
      </c>
      <c r="I70" s="494">
        <f t="shared" si="4"/>
        <v>53.444444444445622</v>
      </c>
    </row>
    <row r="71" spans="7:9">
      <c r="G71" s="491">
        <f t="shared" si="3"/>
        <v>0.18333333333333512</v>
      </c>
      <c r="H71" s="492">
        <f t="shared" si="4"/>
        <v>51.333333333335069</v>
      </c>
      <c r="I71" s="494">
        <f t="shared" si="4"/>
        <v>54.266666666667845</v>
      </c>
    </row>
    <row r="72" spans="7:9">
      <c r="G72" s="491">
        <f t="shared" si="3"/>
        <v>0.18611111111111289</v>
      </c>
      <c r="H72" s="492">
        <f t="shared" si="4"/>
        <v>52.111111111112848</v>
      </c>
      <c r="I72" s="494">
        <f t="shared" si="4"/>
        <v>55.088888888890068</v>
      </c>
    </row>
    <row r="73" spans="7:9">
      <c r="G73" s="491">
        <f t="shared" si="3"/>
        <v>0.18888888888889066</v>
      </c>
      <c r="H73" s="492">
        <f t="shared" si="4"/>
        <v>52.888888888890627</v>
      </c>
      <c r="I73" s="494">
        <f t="shared" si="4"/>
        <v>55.911111111112291</v>
      </c>
    </row>
    <row r="74" spans="7:9">
      <c r="G74" s="491">
        <f t="shared" si="3"/>
        <v>0.19166666666666843</v>
      </c>
      <c r="H74" s="492">
        <f t="shared" si="4"/>
        <v>53.666666666668405</v>
      </c>
      <c r="I74" s="494">
        <f t="shared" si="4"/>
        <v>56.733333333334514</v>
      </c>
    </row>
    <row r="75" spans="7:9">
      <c r="G75" s="491">
        <f t="shared" si="3"/>
        <v>0.1944444444444462</v>
      </c>
      <c r="H75" s="492">
        <f t="shared" si="4"/>
        <v>54.444444444446184</v>
      </c>
      <c r="I75" s="494">
        <f t="shared" si="4"/>
        <v>57.555555555556737</v>
      </c>
    </row>
    <row r="76" spans="7:9">
      <c r="G76" s="491">
        <f t="shared" si="3"/>
        <v>0.19722222222222396</v>
      </c>
      <c r="H76" s="492">
        <f t="shared" si="4"/>
        <v>55.222222222223962</v>
      </c>
      <c r="I76" s="494">
        <f t="shared" si="4"/>
        <v>58.377777777778959</v>
      </c>
    </row>
    <row r="77" spans="7:9">
      <c r="G77" s="491">
        <f t="shared" si="3"/>
        <v>0.20000000000000173</v>
      </c>
      <c r="H77" s="492">
        <f t="shared" si="4"/>
        <v>56.000000000001741</v>
      </c>
      <c r="I77" s="494">
        <f t="shared" si="4"/>
        <v>59.200000000001182</v>
      </c>
    </row>
    <row r="78" spans="7:9">
      <c r="G78" s="491">
        <f t="shared" si="3"/>
        <v>0.2027777777777795</v>
      </c>
      <c r="H78" s="492">
        <f t="shared" si="4"/>
        <v>56.777777777779519</v>
      </c>
      <c r="I78" s="494">
        <f t="shared" si="4"/>
        <v>60.022222222223405</v>
      </c>
    </row>
    <row r="79" spans="7:9">
      <c r="G79" s="491">
        <f t="shared" si="3"/>
        <v>0.20555555555555727</v>
      </c>
      <c r="H79" s="492">
        <f t="shared" si="4"/>
        <v>57.555555555557298</v>
      </c>
      <c r="I79" s="494">
        <f t="shared" si="4"/>
        <v>60.844444444445628</v>
      </c>
    </row>
    <row r="80" spans="7:9">
      <c r="G80" s="491">
        <f t="shared" si="3"/>
        <v>0.20833333333333504</v>
      </c>
      <c r="H80" s="492">
        <f t="shared" si="4"/>
        <v>58.333333333335077</v>
      </c>
      <c r="I80" s="494">
        <f t="shared" si="4"/>
        <v>61.666666666667851</v>
      </c>
    </row>
    <row r="81" spans="7:9">
      <c r="G81" s="491">
        <f t="shared" si="3"/>
        <v>0.2111111111111128</v>
      </c>
      <c r="H81" s="492">
        <f t="shared" si="4"/>
        <v>59.111111111112855</v>
      </c>
      <c r="I81" s="494">
        <f t="shared" si="4"/>
        <v>62.488888888890074</v>
      </c>
    </row>
    <row r="82" spans="7:9">
      <c r="G82" s="491">
        <f t="shared" si="3"/>
        <v>0.21388888888889057</v>
      </c>
      <c r="H82" s="492">
        <f t="shared" si="4"/>
        <v>59.888888888890634</v>
      </c>
      <c r="I82" s="494">
        <f t="shared" si="4"/>
        <v>63.311111111112297</v>
      </c>
    </row>
    <row r="83" spans="7:9">
      <c r="G83" s="491">
        <f t="shared" si="3"/>
        <v>0.21666666666666834</v>
      </c>
      <c r="H83" s="492">
        <f t="shared" si="4"/>
        <v>60.666666666668412</v>
      </c>
      <c r="I83" s="494">
        <f t="shared" si="4"/>
        <v>64.133333333334519</v>
      </c>
    </row>
    <row r="84" spans="7:9">
      <c r="G84" s="491">
        <f t="shared" si="3"/>
        <v>0.21944444444444611</v>
      </c>
      <c r="H84" s="492">
        <f t="shared" si="4"/>
        <v>61.444444444446191</v>
      </c>
      <c r="I84" s="494">
        <f t="shared" si="4"/>
        <v>64.955555555556742</v>
      </c>
    </row>
    <row r="85" spans="7:9">
      <c r="G85" s="491">
        <f t="shared" si="3"/>
        <v>0.22222222222222388</v>
      </c>
      <c r="H85" s="492">
        <f t="shared" si="4"/>
        <v>62.222222222223969</v>
      </c>
      <c r="I85" s="494">
        <f t="shared" si="4"/>
        <v>65.777777777778965</v>
      </c>
    </row>
    <row r="86" spans="7:9">
      <c r="G86" s="491">
        <f t="shared" si="3"/>
        <v>0.22500000000000164</v>
      </c>
      <c r="H86" s="492">
        <f t="shared" si="4"/>
        <v>63.000000000001748</v>
      </c>
      <c r="I86" s="494">
        <f t="shared" si="4"/>
        <v>66.600000000001188</v>
      </c>
    </row>
    <row r="87" spans="7:9">
      <c r="G87" s="491">
        <f t="shared" si="3"/>
        <v>0.22777777777777941</v>
      </c>
      <c r="H87" s="492">
        <f t="shared" si="4"/>
        <v>63.777777777779527</v>
      </c>
      <c r="I87" s="494">
        <f t="shared" si="4"/>
        <v>67.422222222223411</v>
      </c>
    </row>
    <row r="88" spans="7:9">
      <c r="G88" s="491">
        <f t="shared" si="3"/>
        <v>0.23055555555555718</v>
      </c>
      <c r="H88" s="492">
        <f t="shared" si="4"/>
        <v>64.555555555557305</v>
      </c>
      <c r="I88" s="494">
        <f t="shared" si="4"/>
        <v>68.244444444445634</v>
      </c>
    </row>
    <row r="89" spans="7:9">
      <c r="G89" s="491">
        <f t="shared" si="3"/>
        <v>0.23333333333333495</v>
      </c>
      <c r="H89" s="492">
        <f t="shared" si="4"/>
        <v>65.333333333335077</v>
      </c>
      <c r="I89" s="494">
        <f t="shared" si="4"/>
        <v>69.066666666667857</v>
      </c>
    </row>
    <row r="90" spans="7:9">
      <c r="G90" s="491">
        <f t="shared" si="3"/>
        <v>0.23611111111111271</v>
      </c>
      <c r="H90" s="492">
        <f t="shared" si="4"/>
        <v>66.111111111112848</v>
      </c>
      <c r="I90" s="494">
        <f t="shared" si="4"/>
        <v>69.888888888890079</v>
      </c>
    </row>
    <row r="91" spans="7:9">
      <c r="G91" s="491">
        <f t="shared" si="3"/>
        <v>0.23888888888889048</v>
      </c>
      <c r="H91" s="492">
        <f t="shared" si="4"/>
        <v>66.888888888890619</v>
      </c>
      <c r="I91" s="494">
        <f t="shared" si="4"/>
        <v>70.711111111112302</v>
      </c>
    </row>
    <row r="92" spans="7:9">
      <c r="G92" s="491">
        <f t="shared" si="3"/>
        <v>0.24166666666666825</v>
      </c>
      <c r="H92" s="492">
        <f t="shared" si="4"/>
        <v>67.666666666668391</v>
      </c>
      <c r="I92" s="494">
        <f t="shared" si="4"/>
        <v>71.533333333334525</v>
      </c>
    </row>
    <row r="93" spans="7:9">
      <c r="G93" s="491">
        <f t="shared" si="3"/>
        <v>0.24444444444444602</v>
      </c>
      <c r="H93" s="492">
        <f t="shared" si="4"/>
        <v>68.444444444446162</v>
      </c>
      <c r="I93" s="494">
        <f t="shared" si="4"/>
        <v>72.355555555556748</v>
      </c>
    </row>
    <row r="94" spans="7:9">
      <c r="G94" s="491">
        <f t="shared" si="3"/>
        <v>0.24722222222222379</v>
      </c>
      <c r="H94" s="492">
        <f t="shared" si="4"/>
        <v>69.222222222223934</v>
      </c>
      <c r="I94" s="494">
        <f t="shared" si="4"/>
        <v>73.177777777778971</v>
      </c>
    </row>
    <row r="95" spans="7:9">
      <c r="G95" s="491">
        <f t="shared" si="3"/>
        <v>0.25000000000000155</v>
      </c>
      <c r="H95" s="492">
        <f t="shared" si="4"/>
        <v>70.000000000001705</v>
      </c>
      <c r="I95" s="494">
        <f t="shared" si="4"/>
        <v>74.000000000001194</v>
      </c>
    </row>
    <row r="96" spans="7:9">
      <c r="G96" s="491">
        <f t="shared" si="3"/>
        <v>0.25277777777777932</v>
      </c>
      <c r="H96" s="492">
        <f t="shared" si="4"/>
        <v>70.777777777779477</v>
      </c>
      <c r="I96" s="494">
        <f t="shared" si="4"/>
        <v>74.822222222223417</v>
      </c>
    </row>
    <row r="97" spans="7:9">
      <c r="G97" s="491">
        <f t="shared" si="3"/>
        <v>0.25555555555555709</v>
      </c>
      <c r="H97" s="492">
        <f t="shared" si="4"/>
        <v>71.555555555557248</v>
      </c>
      <c r="I97" s="494">
        <f t="shared" si="4"/>
        <v>75.644444444445639</v>
      </c>
    </row>
    <row r="98" spans="7:9">
      <c r="G98" s="491">
        <f t="shared" si="3"/>
        <v>0.25833333333333486</v>
      </c>
      <c r="H98" s="492">
        <f t="shared" si="4"/>
        <v>72.33333333333502</v>
      </c>
      <c r="I98" s="494">
        <f t="shared" si="4"/>
        <v>76.466666666667862</v>
      </c>
    </row>
    <row r="99" spans="7:9">
      <c r="G99" s="491">
        <f t="shared" si="3"/>
        <v>0.26111111111111263</v>
      </c>
      <c r="H99" s="492">
        <f t="shared" si="4"/>
        <v>73.111111111112791</v>
      </c>
      <c r="I99" s="494">
        <f t="shared" si="4"/>
        <v>77.288888888890085</v>
      </c>
    </row>
    <row r="100" spans="7:9">
      <c r="G100" s="491">
        <f t="shared" si="3"/>
        <v>0.26388888888889039</v>
      </c>
      <c r="H100" s="492">
        <f t="shared" si="4"/>
        <v>73.888888888890563</v>
      </c>
      <c r="I100" s="494">
        <f t="shared" si="4"/>
        <v>78.111111111112308</v>
      </c>
    </row>
    <row r="101" spans="7:9">
      <c r="G101" s="491">
        <f t="shared" si="3"/>
        <v>0.26666666666666816</v>
      </c>
      <c r="H101" s="492">
        <f t="shared" si="4"/>
        <v>74.666666666668334</v>
      </c>
      <c r="I101" s="494">
        <f t="shared" si="4"/>
        <v>78.933333333334531</v>
      </c>
    </row>
    <row r="102" spans="7:9">
      <c r="G102" s="491">
        <f t="shared" si="3"/>
        <v>0.26944444444444593</v>
      </c>
      <c r="H102" s="492">
        <f t="shared" si="4"/>
        <v>75.444444444446106</v>
      </c>
      <c r="I102" s="494">
        <f t="shared" si="4"/>
        <v>79.755555555556754</v>
      </c>
    </row>
    <row r="103" spans="7:9">
      <c r="G103" s="491">
        <f t="shared" si="3"/>
        <v>0.2722222222222237</v>
      </c>
      <c r="H103" s="492">
        <f t="shared" si="4"/>
        <v>76.222222222223877</v>
      </c>
      <c r="I103" s="494">
        <f t="shared" si="4"/>
        <v>80.577777777778977</v>
      </c>
    </row>
    <row r="104" spans="7:9">
      <c r="G104" s="491">
        <f t="shared" si="3"/>
        <v>0.27500000000000147</v>
      </c>
      <c r="H104" s="492">
        <f t="shared" si="4"/>
        <v>77.000000000001648</v>
      </c>
      <c r="I104" s="494">
        <f t="shared" si="4"/>
        <v>81.400000000001199</v>
      </c>
    </row>
    <row r="105" spans="7:9">
      <c r="G105" s="491">
        <f t="shared" si="3"/>
        <v>0.27777777777777923</v>
      </c>
      <c r="H105" s="492">
        <f t="shared" si="4"/>
        <v>77.77777777777942</v>
      </c>
      <c r="I105" s="494">
        <f t="shared" si="4"/>
        <v>82.222222222223422</v>
      </c>
    </row>
    <row r="106" spans="7:9">
      <c r="G106" s="491">
        <f t="shared" si="3"/>
        <v>0.280555555555557</v>
      </c>
      <c r="H106" s="492">
        <f t="shared" si="4"/>
        <v>78.555555555557191</v>
      </c>
      <c r="I106" s="494">
        <f t="shared" si="4"/>
        <v>83.044444444445645</v>
      </c>
    </row>
    <row r="107" spans="7:9">
      <c r="G107" s="491">
        <f t="shared" si="3"/>
        <v>0.28333333333333477</v>
      </c>
      <c r="H107" s="492">
        <f t="shared" si="4"/>
        <v>79.333333333334963</v>
      </c>
      <c r="I107" s="494">
        <f t="shared" si="4"/>
        <v>83.866666666667868</v>
      </c>
    </row>
    <row r="108" spans="7:9">
      <c r="G108" s="491">
        <f t="shared" si="3"/>
        <v>0.28611111111111254</v>
      </c>
      <c r="H108" s="492">
        <f t="shared" si="4"/>
        <v>80.111111111112734</v>
      </c>
      <c r="I108" s="494">
        <f t="shared" si="4"/>
        <v>84.688888888890091</v>
      </c>
    </row>
    <row r="109" spans="7:9">
      <c r="G109" s="491">
        <f t="shared" si="3"/>
        <v>0.28888888888889031</v>
      </c>
      <c r="H109" s="492">
        <f t="shared" si="4"/>
        <v>80.888888888890506</v>
      </c>
      <c r="I109" s="494">
        <f t="shared" si="4"/>
        <v>85.511111111112314</v>
      </c>
    </row>
    <row r="110" spans="7:9">
      <c r="G110" s="491">
        <f t="shared" si="3"/>
        <v>0.29166666666666807</v>
      </c>
      <c r="H110" s="492">
        <f t="shared" si="4"/>
        <v>81.666666666668277</v>
      </c>
      <c r="I110" s="494">
        <f t="shared" si="4"/>
        <v>86.333333333334537</v>
      </c>
    </row>
    <row r="111" spans="7:9">
      <c r="G111" s="491">
        <f t="shared" si="3"/>
        <v>0.29444444444444584</v>
      </c>
      <c r="H111" s="492">
        <f t="shared" si="4"/>
        <v>82.444444444446049</v>
      </c>
      <c r="I111" s="494">
        <f t="shared" si="4"/>
        <v>87.155555555556759</v>
      </c>
    </row>
    <row r="112" spans="7:9">
      <c r="G112" s="491">
        <f t="shared" si="3"/>
        <v>0.29722222222222361</v>
      </c>
      <c r="H112" s="492">
        <f t="shared" si="4"/>
        <v>83.22222222222382</v>
      </c>
      <c r="I112" s="494">
        <f t="shared" si="4"/>
        <v>87.977777777778982</v>
      </c>
    </row>
    <row r="113" spans="7:9">
      <c r="G113" s="491">
        <f t="shared" si="3"/>
        <v>0.30000000000000138</v>
      </c>
      <c r="H113" s="492">
        <f t="shared" si="4"/>
        <v>84.000000000001592</v>
      </c>
      <c r="I113" s="494">
        <f t="shared" si="4"/>
        <v>88.800000000001205</v>
      </c>
    </row>
    <row r="114" spans="7:9">
      <c r="G114" s="491">
        <f t="shared" si="3"/>
        <v>0.30277777777777914</v>
      </c>
      <c r="H114" s="492">
        <f t="shared" si="4"/>
        <v>84.777777777779363</v>
      </c>
      <c r="I114" s="494">
        <f t="shared" si="4"/>
        <v>89.622222222223428</v>
      </c>
    </row>
    <row r="115" spans="7:9">
      <c r="G115" s="491">
        <f t="shared" si="3"/>
        <v>0.30555555555555691</v>
      </c>
      <c r="H115" s="492">
        <f t="shared" si="4"/>
        <v>85.555555555557135</v>
      </c>
      <c r="I115" s="494">
        <f t="shared" si="4"/>
        <v>90.444444444445651</v>
      </c>
    </row>
    <row r="116" spans="7:9">
      <c r="G116" s="491">
        <f t="shared" si="3"/>
        <v>0.30833333333333468</v>
      </c>
      <c r="H116" s="492">
        <f t="shared" si="4"/>
        <v>86.333333333334906</v>
      </c>
      <c r="I116" s="494">
        <f t="shared" si="4"/>
        <v>91.266666666667874</v>
      </c>
    </row>
    <row r="117" spans="7:9">
      <c r="G117" s="491">
        <f t="shared" si="3"/>
        <v>0.31111111111111245</v>
      </c>
      <c r="H117" s="492">
        <f t="shared" si="4"/>
        <v>87.111111111112677</v>
      </c>
      <c r="I117" s="494">
        <f t="shared" si="4"/>
        <v>92.088888888890096</v>
      </c>
    </row>
    <row r="118" spans="7:9">
      <c r="G118" s="491">
        <f t="shared" si="3"/>
        <v>0.31388888888889022</v>
      </c>
      <c r="H118" s="492">
        <f t="shared" si="4"/>
        <v>87.888888888890449</v>
      </c>
      <c r="I118" s="494">
        <f t="shared" si="4"/>
        <v>92.911111111112319</v>
      </c>
    </row>
    <row r="119" spans="7:9">
      <c r="G119" s="491">
        <f t="shared" si="3"/>
        <v>0.31666666666666798</v>
      </c>
      <c r="H119" s="492">
        <f t="shared" si="4"/>
        <v>88.66666666666822</v>
      </c>
      <c r="I119" s="494">
        <f t="shared" si="4"/>
        <v>93.733333333334542</v>
      </c>
    </row>
    <row r="120" spans="7:9">
      <c r="G120" s="491">
        <f t="shared" si="3"/>
        <v>0.31944444444444575</v>
      </c>
      <c r="H120" s="492">
        <f t="shared" si="4"/>
        <v>89.444444444445992</v>
      </c>
      <c r="I120" s="494">
        <f t="shared" si="4"/>
        <v>94.555555555556765</v>
      </c>
    </row>
    <row r="121" spans="7:9">
      <c r="G121" s="491">
        <f t="shared" si="3"/>
        <v>0.32222222222222352</v>
      </c>
      <c r="H121" s="492">
        <f t="shared" si="4"/>
        <v>90.222222222223763</v>
      </c>
      <c r="I121" s="494">
        <f t="shared" si="4"/>
        <v>95.377777777778988</v>
      </c>
    </row>
    <row r="122" spans="7:9">
      <c r="G122" s="491">
        <f t="shared" si="3"/>
        <v>0.32500000000000129</v>
      </c>
      <c r="H122" s="492">
        <f t="shared" si="4"/>
        <v>91.000000000001535</v>
      </c>
      <c r="I122" s="494">
        <f t="shared" si="4"/>
        <v>96.200000000001211</v>
      </c>
    </row>
    <row r="123" spans="7:9">
      <c r="G123" s="491">
        <f t="shared" si="3"/>
        <v>0.32777777777777906</v>
      </c>
      <c r="H123" s="492">
        <f t="shared" si="4"/>
        <v>91.777777777779306</v>
      </c>
      <c r="I123" s="494">
        <f t="shared" si="4"/>
        <v>97.022222222223434</v>
      </c>
    </row>
    <row r="124" spans="7:9">
      <c r="G124" s="491">
        <f t="shared" si="3"/>
        <v>0.33055555555555682</v>
      </c>
      <c r="H124" s="492">
        <f t="shared" si="4"/>
        <v>92.555555555557078</v>
      </c>
      <c r="I124" s="494">
        <f t="shared" si="4"/>
        <v>97.844444444445656</v>
      </c>
    </row>
    <row r="125" spans="7:9">
      <c r="G125" s="491">
        <f t="shared" si="3"/>
        <v>0.33333333333333459</v>
      </c>
      <c r="H125" s="492">
        <f t="shared" si="4"/>
        <v>93.333333333334849</v>
      </c>
      <c r="I125" s="494">
        <f t="shared" si="4"/>
        <v>98.666666666667879</v>
      </c>
    </row>
    <row r="126" spans="7:9">
      <c r="G126" s="491">
        <f t="shared" si="3"/>
        <v>0.33611111111111236</v>
      </c>
      <c r="H126" s="492">
        <f t="shared" si="4"/>
        <v>94.111111111112621</v>
      </c>
      <c r="I126" s="494">
        <f t="shared" si="4"/>
        <v>99.488888888890102</v>
      </c>
    </row>
    <row r="127" spans="7:9">
      <c r="G127" s="491">
        <f t="shared" si="3"/>
        <v>0.33888888888889013</v>
      </c>
      <c r="H127" s="492">
        <f t="shared" si="4"/>
        <v>94.888888888890392</v>
      </c>
      <c r="I127" s="494">
        <f t="shared" si="4"/>
        <v>100.31111111111233</v>
      </c>
    </row>
    <row r="128" spans="7:9">
      <c r="G128" s="491">
        <f t="shared" si="3"/>
        <v>0.3416666666666679</v>
      </c>
      <c r="H128" s="492">
        <f t="shared" si="4"/>
        <v>95.666666666668164</v>
      </c>
      <c r="I128" s="494">
        <f t="shared" si="4"/>
        <v>101.13333333333455</v>
      </c>
    </row>
    <row r="129" spans="7:9">
      <c r="G129" s="491">
        <f t="shared" si="3"/>
        <v>0.34444444444444566</v>
      </c>
      <c r="H129" s="492">
        <f t="shared" si="4"/>
        <v>96.444444444445935</v>
      </c>
      <c r="I129" s="494">
        <f t="shared" si="4"/>
        <v>101.95555555555677</v>
      </c>
    </row>
    <row r="130" spans="7:9">
      <c r="G130" s="491">
        <f t="shared" si="3"/>
        <v>0.34722222222222343</v>
      </c>
      <c r="H130" s="492">
        <f t="shared" si="4"/>
        <v>97.222222222223706</v>
      </c>
      <c r="I130" s="494">
        <f t="shared" si="4"/>
        <v>102.77777777777899</v>
      </c>
    </row>
    <row r="131" spans="7:9">
      <c r="G131" s="491">
        <f t="shared" si="3"/>
        <v>0.3500000000000012</v>
      </c>
      <c r="H131" s="492">
        <f t="shared" si="4"/>
        <v>98.000000000001478</v>
      </c>
      <c r="I131" s="494">
        <f t="shared" si="4"/>
        <v>103.60000000000122</v>
      </c>
    </row>
    <row r="132" spans="7:9">
      <c r="G132" s="491">
        <f t="shared" si="3"/>
        <v>0.35277777777777897</v>
      </c>
      <c r="H132" s="492">
        <f t="shared" si="4"/>
        <v>98.777777777779249</v>
      </c>
      <c r="I132" s="494">
        <f t="shared" si="4"/>
        <v>104.42222222222344</v>
      </c>
    </row>
    <row r="133" spans="7:9">
      <c r="G133" s="491">
        <f t="shared" ref="G133:G196" si="5">G134-0.00277777777777777</f>
        <v>0.35555555555555673</v>
      </c>
      <c r="H133" s="492">
        <f t="shared" si="4"/>
        <v>99.555555555557021</v>
      </c>
      <c r="I133" s="494">
        <f t="shared" si="4"/>
        <v>105.24444444444566</v>
      </c>
    </row>
    <row r="134" spans="7:9">
      <c r="G134" s="491">
        <f t="shared" si="5"/>
        <v>0.3583333333333345</v>
      </c>
      <c r="H134" s="492">
        <f t="shared" ref="H134:I197" si="6">H135-(H$365*0.2/72)</f>
        <v>100.33333333333479</v>
      </c>
      <c r="I134" s="494">
        <f t="shared" si="6"/>
        <v>106.06666666666789</v>
      </c>
    </row>
    <row r="135" spans="7:9">
      <c r="G135" s="491">
        <f t="shared" si="5"/>
        <v>0.36111111111111227</v>
      </c>
      <c r="H135" s="492">
        <f t="shared" si="6"/>
        <v>101.11111111111256</v>
      </c>
      <c r="I135" s="494">
        <f t="shared" si="6"/>
        <v>106.88888888889011</v>
      </c>
    </row>
    <row r="136" spans="7:9">
      <c r="G136" s="491">
        <f t="shared" si="5"/>
        <v>0.36388888888889004</v>
      </c>
      <c r="H136" s="492">
        <f t="shared" si="6"/>
        <v>101.88888888889034</v>
      </c>
      <c r="I136" s="494">
        <f t="shared" si="6"/>
        <v>107.71111111111233</v>
      </c>
    </row>
    <row r="137" spans="7:9">
      <c r="G137" s="491">
        <f t="shared" si="5"/>
        <v>0.36666666666666781</v>
      </c>
      <c r="H137" s="492">
        <f t="shared" si="6"/>
        <v>102.66666666666811</v>
      </c>
      <c r="I137" s="494">
        <f t="shared" si="6"/>
        <v>108.53333333333455</v>
      </c>
    </row>
    <row r="138" spans="7:9">
      <c r="G138" s="491">
        <f t="shared" si="5"/>
        <v>0.36944444444444557</v>
      </c>
      <c r="H138" s="492">
        <f t="shared" si="6"/>
        <v>103.44444444444588</v>
      </c>
      <c r="I138" s="494">
        <f t="shared" si="6"/>
        <v>109.35555555555678</v>
      </c>
    </row>
    <row r="139" spans="7:9">
      <c r="G139" s="491">
        <f t="shared" si="5"/>
        <v>0.37222222222222334</v>
      </c>
      <c r="H139" s="492">
        <f t="shared" si="6"/>
        <v>104.22222222222365</v>
      </c>
      <c r="I139" s="494">
        <f t="shared" si="6"/>
        <v>110.177777777779</v>
      </c>
    </row>
    <row r="140" spans="7:9">
      <c r="G140" s="491">
        <f t="shared" si="5"/>
        <v>0.37500000000000111</v>
      </c>
      <c r="H140" s="492">
        <f t="shared" si="6"/>
        <v>105.00000000000142</v>
      </c>
      <c r="I140" s="494">
        <f t="shared" si="6"/>
        <v>111.00000000000122</v>
      </c>
    </row>
    <row r="141" spans="7:9">
      <c r="G141" s="491">
        <f t="shared" si="5"/>
        <v>0.37777777777777888</v>
      </c>
      <c r="H141" s="492">
        <f t="shared" si="6"/>
        <v>105.77777777777919</v>
      </c>
      <c r="I141" s="494">
        <f t="shared" si="6"/>
        <v>111.82222222222344</v>
      </c>
    </row>
    <row r="142" spans="7:9">
      <c r="G142" s="491">
        <f t="shared" si="5"/>
        <v>0.38055555555555665</v>
      </c>
      <c r="H142" s="492">
        <f t="shared" si="6"/>
        <v>106.55555555555696</v>
      </c>
      <c r="I142" s="494">
        <f t="shared" si="6"/>
        <v>112.64444444444567</v>
      </c>
    </row>
    <row r="143" spans="7:9">
      <c r="G143" s="491">
        <f t="shared" si="5"/>
        <v>0.38333333333333441</v>
      </c>
      <c r="H143" s="492">
        <f t="shared" si="6"/>
        <v>107.33333333333474</v>
      </c>
      <c r="I143" s="494">
        <f t="shared" si="6"/>
        <v>113.46666666666789</v>
      </c>
    </row>
    <row r="144" spans="7:9">
      <c r="G144" s="491">
        <f t="shared" si="5"/>
        <v>0.38611111111111218</v>
      </c>
      <c r="H144" s="492">
        <f t="shared" si="6"/>
        <v>108.11111111111251</v>
      </c>
      <c r="I144" s="494">
        <f t="shared" si="6"/>
        <v>114.28888888889011</v>
      </c>
    </row>
    <row r="145" spans="7:9">
      <c r="G145" s="491">
        <f t="shared" si="5"/>
        <v>0.38888888888888995</v>
      </c>
      <c r="H145" s="492">
        <f t="shared" si="6"/>
        <v>108.88888888889028</v>
      </c>
      <c r="I145" s="494">
        <f t="shared" si="6"/>
        <v>115.11111111111234</v>
      </c>
    </row>
    <row r="146" spans="7:9">
      <c r="G146" s="491">
        <f t="shared" si="5"/>
        <v>0.39166666666666772</v>
      </c>
      <c r="H146" s="492">
        <f t="shared" si="6"/>
        <v>109.66666666666805</v>
      </c>
      <c r="I146" s="494">
        <f t="shared" si="6"/>
        <v>115.93333333333456</v>
      </c>
    </row>
    <row r="147" spans="7:9">
      <c r="G147" s="491">
        <f t="shared" si="5"/>
        <v>0.39444444444444549</v>
      </c>
      <c r="H147" s="492">
        <f t="shared" si="6"/>
        <v>110.44444444444582</v>
      </c>
      <c r="I147" s="494">
        <f t="shared" si="6"/>
        <v>116.75555555555678</v>
      </c>
    </row>
    <row r="148" spans="7:9">
      <c r="G148" s="491">
        <f t="shared" si="5"/>
        <v>0.39722222222222325</v>
      </c>
      <c r="H148" s="492">
        <f t="shared" si="6"/>
        <v>111.22222222222359</v>
      </c>
      <c r="I148" s="494">
        <f t="shared" si="6"/>
        <v>117.577777777779</v>
      </c>
    </row>
    <row r="149" spans="7:9">
      <c r="G149" s="491">
        <f t="shared" si="5"/>
        <v>0.40000000000000102</v>
      </c>
      <c r="H149" s="492">
        <f t="shared" si="6"/>
        <v>112.00000000000136</v>
      </c>
      <c r="I149" s="494">
        <f t="shared" si="6"/>
        <v>118.40000000000123</v>
      </c>
    </row>
    <row r="150" spans="7:9">
      <c r="G150" s="491">
        <f t="shared" si="5"/>
        <v>0.40277777777777879</v>
      </c>
      <c r="H150" s="492">
        <f t="shared" si="6"/>
        <v>112.77777777777914</v>
      </c>
      <c r="I150" s="494">
        <f t="shared" si="6"/>
        <v>119.22222222222345</v>
      </c>
    </row>
    <row r="151" spans="7:9">
      <c r="G151" s="491">
        <f t="shared" si="5"/>
        <v>0.40555555555555656</v>
      </c>
      <c r="H151" s="492">
        <f t="shared" si="6"/>
        <v>113.55555555555691</v>
      </c>
      <c r="I151" s="494">
        <f t="shared" si="6"/>
        <v>120.04444444444567</v>
      </c>
    </row>
    <row r="152" spans="7:9">
      <c r="G152" s="491">
        <f t="shared" si="5"/>
        <v>0.40833333333333433</v>
      </c>
      <c r="H152" s="492">
        <f t="shared" si="6"/>
        <v>114.33333333333468</v>
      </c>
      <c r="I152" s="494">
        <f t="shared" si="6"/>
        <v>120.8666666666679</v>
      </c>
    </row>
    <row r="153" spans="7:9">
      <c r="G153" s="491">
        <f t="shared" si="5"/>
        <v>0.41111111111111209</v>
      </c>
      <c r="H153" s="492">
        <f t="shared" si="6"/>
        <v>115.11111111111245</v>
      </c>
      <c r="I153" s="494">
        <f t="shared" si="6"/>
        <v>121.68888888889012</v>
      </c>
    </row>
    <row r="154" spans="7:9">
      <c r="G154" s="491">
        <f t="shared" si="5"/>
        <v>0.41388888888888986</v>
      </c>
      <c r="H154" s="492">
        <f t="shared" si="6"/>
        <v>115.88888888889022</v>
      </c>
      <c r="I154" s="494">
        <f t="shared" si="6"/>
        <v>122.51111111111234</v>
      </c>
    </row>
    <row r="155" spans="7:9">
      <c r="G155" s="491">
        <f t="shared" si="5"/>
        <v>0.41666666666666763</v>
      </c>
      <c r="H155" s="492">
        <f t="shared" si="6"/>
        <v>116.66666666666799</v>
      </c>
      <c r="I155" s="494">
        <f t="shared" si="6"/>
        <v>123.33333333333456</v>
      </c>
    </row>
    <row r="156" spans="7:9">
      <c r="G156" s="491">
        <f t="shared" si="5"/>
        <v>0.4194444444444454</v>
      </c>
      <c r="H156" s="492">
        <f t="shared" si="6"/>
        <v>117.44444444444576</v>
      </c>
      <c r="I156" s="494">
        <f t="shared" si="6"/>
        <v>124.15555555555679</v>
      </c>
    </row>
    <row r="157" spans="7:9">
      <c r="G157" s="491">
        <f t="shared" si="5"/>
        <v>0.42222222222222316</v>
      </c>
      <c r="H157" s="492">
        <f t="shared" si="6"/>
        <v>118.22222222222354</v>
      </c>
      <c r="I157" s="494">
        <f t="shared" si="6"/>
        <v>124.97777777777901</v>
      </c>
    </row>
    <row r="158" spans="7:9">
      <c r="G158" s="491">
        <f t="shared" si="5"/>
        <v>0.42500000000000093</v>
      </c>
      <c r="H158" s="492">
        <f t="shared" si="6"/>
        <v>119.00000000000131</v>
      </c>
      <c r="I158" s="494">
        <f t="shared" si="6"/>
        <v>125.80000000000123</v>
      </c>
    </row>
    <row r="159" spans="7:9">
      <c r="G159" s="491">
        <f t="shared" si="5"/>
        <v>0.4277777777777787</v>
      </c>
      <c r="H159" s="492">
        <f t="shared" si="6"/>
        <v>119.77777777777908</v>
      </c>
      <c r="I159" s="494">
        <f t="shared" si="6"/>
        <v>126.62222222222346</v>
      </c>
    </row>
    <row r="160" spans="7:9">
      <c r="G160" s="491">
        <f t="shared" si="5"/>
        <v>0.43055555555555647</v>
      </c>
      <c r="H160" s="492">
        <f t="shared" si="6"/>
        <v>120.55555555555685</v>
      </c>
      <c r="I160" s="494">
        <f t="shared" si="6"/>
        <v>127.44444444444568</v>
      </c>
    </row>
    <row r="161" spans="7:9">
      <c r="G161" s="491">
        <f t="shared" si="5"/>
        <v>0.43333333333333424</v>
      </c>
      <c r="H161" s="492">
        <f t="shared" si="6"/>
        <v>121.33333333333462</v>
      </c>
      <c r="I161" s="494">
        <f t="shared" si="6"/>
        <v>128.2666666666679</v>
      </c>
    </row>
    <row r="162" spans="7:9">
      <c r="G162" s="491">
        <f t="shared" si="5"/>
        <v>0.436111111111112</v>
      </c>
      <c r="H162" s="492">
        <f t="shared" si="6"/>
        <v>122.11111111111239</v>
      </c>
      <c r="I162" s="494">
        <f t="shared" si="6"/>
        <v>129.08888888889012</v>
      </c>
    </row>
    <row r="163" spans="7:9">
      <c r="G163" s="491">
        <f t="shared" si="5"/>
        <v>0.43888888888888977</v>
      </c>
      <c r="H163" s="492">
        <f t="shared" si="6"/>
        <v>122.88888888889016</v>
      </c>
      <c r="I163" s="494">
        <f t="shared" si="6"/>
        <v>129.91111111111235</v>
      </c>
    </row>
    <row r="164" spans="7:9">
      <c r="G164" s="491">
        <f t="shared" si="5"/>
        <v>0.44166666666666754</v>
      </c>
      <c r="H164" s="492">
        <f t="shared" si="6"/>
        <v>123.66666666666794</v>
      </c>
      <c r="I164" s="494">
        <f t="shared" si="6"/>
        <v>130.73333333333457</v>
      </c>
    </row>
    <row r="165" spans="7:9">
      <c r="G165" s="491">
        <f t="shared" si="5"/>
        <v>0.44444444444444531</v>
      </c>
      <c r="H165" s="492">
        <f t="shared" si="6"/>
        <v>124.44444444444571</v>
      </c>
      <c r="I165" s="494">
        <f t="shared" si="6"/>
        <v>131.55555555555679</v>
      </c>
    </row>
    <row r="166" spans="7:9">
      <c r="G166" s="491">
        <f t="shared" si="5"/>
        <v>0.44722222222222308</v>
      </c>
      <c r="H166" s="492">
        <f t="shared" si="6"/>
        <v>125.22222222222348</v>
      </c>
      <c r="I166" s="494">
        <f t="shared" si="6"/>
        <v>132.37777777777902</v>
      </c>
    </row>
    <row r="167" spans="7:9">
      <c r="G167" s="491">
        <f t="shared" si="5"/>
        <v>0.45000000000000084</v>
      </c>
      <c r="H167" s="492">
        <f t="shared" si="6"/>
        <v>126.00000000000125</v>
      </c>
      <c r="I167" s="494">
        <f t="shared" si="6"/>
        <v>133.20000000000124</v>
      </c>
    </row>
    <row r="168" spans="7:9">
      <c r="G168" s="491">
        <f t="shared" si="5"/>
        <v>0.45277777777777861</v>
      </c>
      <c r="H168" s="492">
        <f t="shared" si="6"/>
        <v>126.77777777777902</v>
      </c>
      <c r="I168" s="494">
        <f t="shared" si="6"/>
        <v>134.02222222222346</v>
      </c>
    </row>
    <row r="169" spans="7:9">
      <c r="G169" s="491">
        <f t="shared" si="5"/>
        <v>0.45555555555555638</v>
      </c>
      <c r="H169" s="492">
        <f t="shared" si="6"/>
        <v>127.55555555555679</v>
      </c>
      <c r="I169" s="494">
        <f t="shared" si="6"/>
        <v>134.84444444444568</v>
      </c>
    </row>
    <row r="170" spans="7:9">
      <c r="G170" s="491">
        <f t="shared" si="5"/>
        <v>0.45833333333333415</v>
      </c>
      <c r="H170" s="492">
        <f t="shared" si="6"/>
        <v>128.33333333333456</v>
      </c>
      <c r="I170" s="494">
        <f t="shared" si="6"/>
        <v>135.66666666666791</v>
      </c>
    </row>
    <row r="171" spans="7:9">
      <c r="G171" s="491">
        <f t="shared" si="5"/>
        <v>0.46111111111111192</v>
      </c>
      <c r="H171" s="492">
        <f t="shared" si="6"/>
        <v>129.11111111111234</v>
      </c>
      <c r="I171" s="494">
        <f t="shared" si="6"/>
        <v>136.48888888889013</v>
      </c>
    </row>
    <row r="172" spans="7:9">
      <c r="G172" s="491">
        <f t="shared" si="5"/>
        <v>0.46388888888888968</v>
      </c>
      <c r="H172" s="492">
        <f t="shared" si="6"/>
        <v>129.88888888889011</v>
      </c>
      <c r="I172" s="494">
        <f t="shared" si="6"/>
        <v>137.31111111111235</v>
      </c>
    </row>
    <row r="173" spans="7:9">
      <c r="G173" s="491">
        <f t="shared" si="5"/>
        <v>0.46666666666666745</v>
      </c>
      <c r="H173" s="492">
        <f t="shared" si="6"/>
        <v>130.66666666666788</v>
      </c>
      <c r="I173" s="494">
        <f t="shared" si="6"/>
        <v>138.13333333333458</v>
      </c>
    </row>
    <row r="174" spans="7:9">
      <c r="G174" s="491">
        <f t="shared" si="5"/>
        <v>0.46944444444444522</v>
      </c>
      <c r="H174" s="492">
        <f t="shared" si="6"/>
        <v>131.44444444444565</v>
      </c>
      <c r="I174" s="494">
        <f t="shared" si="6"/>
        <v>138.9555555555568</v>
      </c>
    </row>
    <row r="175" spans="7:9">
      <c r="G175" s="491">
        <f t="shared" si="5"/>
        <v>0.47222222222222299</v>
      </c>
      <c r="H175" s="492">
        <f t="shared" si="6"/>
        <v>132.22222222222342</v>
      </c>
      <c r="I175" s="494">
        <f t="shared" si="6"/>
        <v>139.77777777777902</v>
      </c>
    </row>
    <row r="176" spans="7:9">
      <c r="G176" s="491">
        <f t="shared" si="5"/>
        <v>0.47500000000000075</v>
      </c>
      <c r="H176" s="492">
        <f t="shared" si="6"/>
        <v>133.00000000000119</v>
      </c>
      <c r="I176" s="494">
        <f t="shared" si="6"/>
        <v>140.60000000000124</v>
      </c>
    </row>
    <row r="177" spans="7:9">
      <c r="G177" s="491">
        <f t="shared" si="5"/>
        <v>0.47777777777777852</v>
      </c>
      <c r="H177" s="492">
        <f t="shared" si="6"/>
        <v>133.77777777777897</v>
      </c>
      <c r="I177" s="494">
        <f t="shared" si="6"/>
        <v>141.42222222222347</v>
      </c>
    </row>
    <row r="178" spans="7:9">
      <c r="G178" s="491">
        <f t="shared" si="5"/>
        <v>0.48055555555555629</v>
      </c>
      <c r="H178" s="492">
        <f t="shared" si="6"/>
        <v>134.55555555555674</v>
      </c>
      <c r="I178" s="494">
        <f t="shared" si="6"/>
        <v>142.24444444444569</v>
      </c>
    </row>
    <row r="179" spans="7:9">
      <c r="G179" s="491">
        <f t="shared" si="5"/>
        <v>0.48333333333333406</v>
      </c>
      <c r="H179" s="492">
        <f t="shared" si="6"/>
        <v>135.33333333333451</v>
      </c>
      <c r="I179" s="494">
        <f t="shared" si="6"/>
        <v>143.06666666666791</v>
      </c>
    </row>
    <row r="180" spans="7:9">
      <c r="G180" s="491">
        <f t="shared" si="5"/>
        <v>0.48611111111111183</v>
      </c>
      <c r="H180" s="492">
        <f t="shared" si="6"/>
        <v>136.11111111111228</v>
      </c>
      <c r="I180" s="494">
        <f t="shared" si="6"/>
        <v>143.88888888889014</v>
      </c>
    </row>
    <row r="181" spans="7:9">
      <c r="G181" s="491">
        <f t="shared" si="5"/>
        <v>0.48888888888888959</v>
      </c>
      <c r="H181" s="492">
        <f t="shared" si="6"/>
        <v>136.88888888889005</v>
      </c>
      <c r="I181" s="494">
        <f t="shared" si="6"/>
        <v>144.71111111111236</v>
      </c>
    </row>
    <row r="182" spans="7:9">
      <c r="G182" s="491">
        <f t="shared" si="5"/>
        <v>0.49166666666666736</v>
      </c>
      <c r="H182" s="492">
        <f t="shared" si="6"/>
        <v>137.66666666666782</v>
      </c>
      <c r="I182" s="494">
        <f t="shared" si="6"/>
        <v>145.53333333333458</v>
      </c>
    </row>
    <row r="183" spans="7:9">
      <c r="G183" s="491">
        <f t="shared" si="5"/>
        <v>0.49444444444444513</v>
      </c>
      <c r="H183" s="492">
        <f t="shared" si="6"/>
        <v>138.44444444444559</v>
      </c>
      <c r="I183" s="494">
        <f t="shared" si="6"/>
        <v>146.3555555555568</v>
      </c>
    </row>
    <row r="184" spans="7:9">
      <c r="G184" s="491">
        <f t="shared" si="5"/>
        <v>0.4972222222222229</v>
      </c>
      <c r="H184" s="492">
        <f t="shared" si="6"/>
        <v>139.22222222222337</v>
      </c>
      <c r="I184" s="494">
        <f t="shared" si="6"/>
        <v>147.17777777777903</v>
      </c>
    </row>
    <row r="185" spans="7:9">
      <c r="G185" s="491">
        <f t="shared" si="5"/>
        <v>0.50000000000000067</v>
      </c>
      <c r="H185" s="492">
        <f t="shared" si="6"/>
        <v>140.00000000000114</v>
      </c>
      <c r="I185" s="494">
        <f t="shared" si="6"/>
        <v>148.00000000000125</v>
      </c>
    </row>
    <row r="186" spans="7:9">
      <c r="G186" s="491">
        <f t="shared" si="5"/>
        <v>0.50277777777777843</v>
      </c>
      <c r="H186" s="492">
        <f t="shared" si="6"/>
        <v>140.77777777777891</v>
      </c>
      <c r="I186" s="494">
        <f t="shared" si="6"/>
        <v>148.82222222222347</v>
      </c>
    </row>
    <row r="187" spans="7:9">
      <c r="G187" s="491">
        <f t="shared" si="5"/>
        <v>0.5055555555555562</v>
      </c>
      <c r="H187" s="492">
        <f t="shared" si="6"/>
        <v>141.55555555555668</v>
      </c>
      <c r="I187" s="494">
        <f t="shared" si="6"/>
        <v>149.6444444444457</v>
      </c>
    </row>
    <row r="188" spans="7:9">
      <c r="G188" s="491">
        <f t="shared" si="5"/>
        <v>0.50833333333333397</v>
      </c>
      <c r="H188" s="492">
        <f t="shared" si="6"/>
        <v>142.33333333333445</v>
      </c>
      <c r="I188" s="494">
        <f t="shared" si="6"/>
        <v>150.46666666666792</v>
      </c>
    </row>
    <row r="189" spans="7:9">
      <c r="G189" s="491">
        <f t="shared" si="5"/>
        <v>0.51111111111111174</v>
      </c>
      <c r="H189" s="492">
        <f t="shared" si="6"/>
        <v>143.11111111111222</v>
      </c>
      <c r="I189" s="494">
        <f t="shared" si="6"/>
        <v>151.28888888889014</v>
      </c>
    </row>
    <row r="190" spans="7:9">
      <c r="G190" s="491">
        <f t="shared" si="5"/>
        <v>0.51388888888888951</v>
      </c>
      <c r="H190" s="492">
        <f t="shared" si="6"/>
        <v>143.88888888888999</v>
      </c>
      <c r="I190" s="494">
        <f t="shared" si="6"/>
        <v>152.11111111111236</v>
      </c>
    </row>
    <row r="191" spans="7:9">
      <c r="G191" s="491">
        <f t="shared" si="5"/>
        <v>0.51666666666666727</v>
      </c>
      <c r="H191" s="492">
        <f t="shared" si="6"/>
        <v>144.66666666666777</v>
      </c>
      <c r="I191" s="494">
        <f t="shared" si="6"/>
        <v>152.93333333333459</v>
      </c>
    </row>
    <row r="192" spans="7:9">
      <c r="G192" s="491">
        <f t="shared" si="5"/>
        <v>0.51944444444444504</v>
      </c>
      <c r="H192" s="492">
        <f t="shared" si="6"/>
        <v>145.44444444444554</v>
      </c>
      <c r="I192" s="494">
        <f t="shared" si="6"/>
        <v>153.75555555555681</v>
      </c>
    </row>
    <row r="193" spans="7:9">
      <c r="G193" s="491">
        <f t="shared" si="5"/>
        <v>0.52222222222222281</v>
      </c>
      <c r="H193" s="492">
        <f t="shared" si="6"/>
        <v>146.22222222222331</v>
      </c>
      <c r="I193" s="494">
        <f t="shared" si="6"/>
        <v>154.57777777777903</v>
      </c>
    </row>
    <row r="194" spans="7:9">
      <c r="G194" s="491">
        <f t="shared" si="5"/>
        <v>0.52500000000000058</v>
      </c>
      <c r="H194" s="492">
        <f t="shared" si="6"/>
        <v>147.00000000000108</v>
      </c>
      <c r="I194" s="494">
        <f t="shared" si="6"/>
        <v>155.40000000000126</v>
      </c>
    </row>
    <row r="195" spans="7:9">
      <c r="G195" s="491">
        <f t="shared" si="5"/>
        <v>0.52777777777777835</v>
      </c>
      <c r="H195" s="492">
        <f t="shared" si="6"/>
        <v>147.77777777777885</v>
      </c>
      <c r="I195" s="494">
        <f t="shared" si="6"/>
        <v>156.22222222222348</v>
      </c>
    </row>
    <row r="196" spans="7:9">
      <c r="G196" s="491">
        <f t="shared" si="5"/>
        <v>0.53055555555555611</v>
      </c>
      <c r="H196" s="492">
        <f t="shared" si="6"/>
        <v>148.55555555555662</v>
      </c>
      <c r="I196" s="494">
        <f t="shared" si="6"/>
        <v>157.0444444444457</v>
      </c>
    </row>
    <row r="197" spans="7:9">
      <c r="G197" s="491">
        <f t="shared" ref="G197:G256" si="7">G198-0.00277777777777777</f>
        <v>0.53333333333333388</v>
      </c>
      <c r="H197" s="492">
        <f t="shared" si="6"/>
        <v>149.33333333333439</v>
      </c>
      <c r="I197" s="494">
        <f t="shared" si="6"/>
        <v>157.86666666666792</v>
      </c>
    </row>
    <row r="198" spans="7:9">
      <c r="G198" s="491">
        <f t="shared" si="7"/>
        <v>0.53611111111111165</v>
      </c>
      <c r="H198" s="492">
        <f t="shared" ref="H198:I261" si="8">H199-(H$365*0.2/72)</f>
        <v>150.11111111111217</v>
      </c>
      <c r="I198" s="494">
        <f t="shared" si="8"/>
        <v>158.68888888889015</v>
      </c>
    </row>
    <row r="199" spans="7:9">
      <c r="G199" s="491">
        <f t="shared" si="7"/>
        <v>0.53888888888888942</v>
      </c>
      <c r="H199" s="492">
        <f t="shared" si="8"/>
        <v>150.88888888888994</v>
      </c>
      <c r="I199" s="494">
        <f t="shared" si="8"/>
        <v>159.51111111111237</v>
      </c>
    </row>
    <row r="200" spans="7:9">
      <c r="G200" s="491">
        <f t="shared" si="7"/>
        <v>0.54166666666666718</v>
      </c>
      <c r="H200" s="492">
        <f t="shared" si="8"/>
        <v>151.66666666666771</v>
      </c>
      <c r="I200" s="494">
        <f t="shared" si="8"/>
        <v>160.33333333333459</v>
      </c>
    </row>
    <row r="201" spans="7:9">
      <c r="G201" s="491">
        <f t="shared" si="7"/>
        <v>0.54444444444444495</v>
      </c>
      <c r="H201" s="492">
        <f t="shared" si="8"/>
        <v>152.44444444444548</v>
      </c>
      <c r="I201" s="494">
        <f t="shared" si="8"/>
        <v>161.15555555555682</v>
      </c>
    </row>
    <row r="202" spans="7:9">
      <c r="G202" s="491">
        <f t="shared" si="7"/>
        <v>0.54722222222222272</v>
      </c>
      <c r="H202" s="492">
        <f t="shared" si="8"/>
        <v>153.22222222222325</v>
      </c>
      <c r="I202" s="494">
        <f t="shared" si="8"/>
        <v>161.97777777777904</v>
      </c>
    </row>
    <row r="203" spans="7:9">
      <c r="G203" s="491">
        <f t="shared" si="7"/>
        <v>0.55000000000000049</v>
      </c>
      <c r="H203" s="492">
        <f t="shared" si="8"/>
        <v>154.00000000000102</v>
      </c>
      <c r="I203" s="494">
        <f t="shared" si="8"/>
        <v>162.80000000000126</v>
      </c>
    </row>
    <row r="204" spans="7:9">
      <c r="G204" s="491">
        <f t="shared" si="7"/>
        <v>0.55277777777777826</v>
      </c>
      <c r="H204" s="492">
        <f t="shared" si="8"/>
        <v>154.77777777777879</v>
      </c>
      <c r="I204" s="494">
        <f t="shared" si="8"/>
        <v>163.62222222222348</v>
      </c>
    </row>
    <row r="205" spans="7:9">
      <c r="G205" s="491">
        <f t="shared" si="7"/>
        <v>0.55555555555555602</v>
      </c>
      <c r="H205" s="492">
        <f t="shared" si="8"/>
        <v>155.55555555555657</v>
      </c>
      <c r="I205" s="494">
        <f t="shared" si="8"/>
        <v>164.44444444444571</v>
      </c>
    </row>
    <row r="206" spans="7:9">
      <c r="G206" s="491">
        <f t="shared" si="7"/>
        <v>0.55833333333333379</v>
      </c>
      <c r="H206" s="492">
        <f t="shared" si="8"/>
        <v>156.33333333333434</v>
      </c>
      <c r="I206" s="494">
        <f t="shared" si="8"/>
        <v>165.26666666666793</v>
      </c>
    </row>
    <row r="207" spans="7:9">
      <c r="G207" s="491">
        <f t="shared" si="7"/>
        <v>0.56111111111111156</v>
      </c>
      <c r="H207" s="492">
        <f t="shared" si="8"/>
        <v>157.11111111111211</v>
      </c>
      <c r="I207" s="494">
        <f t="shared" si="8"/>
        <v>166.08888888889015</v>
      </c>
    </row>
    <row r="208" spans="7:9">
      <c r="G208" s="491">
        <f t="shared" si="7"/>
        <v>0.56388888888888933</v>
      </c>
      <c r="H208" s="492">
        <f t="shared" si="8"/>
        <v>157.88888888888988</v>
      </c>
      <c r="I208" s="494">
        <f t="shared" si="8"/>
        <v>166.91111111111238</v>
      </c>
    </row>
    <row r="209" spans="7:9">
      <c r="G209" s="491">
        <f t="shared" si="7"/>
        <v>0.5666666666666671</v>
      </c>
      <c r="H209" s="492">
        <f t="shared" si="8"/>
        <v>158.66666666666765</v>
      </c>
      <c r="I209" s="494">
        <f t="shared" si="8"/>
        <v>167.7333333333346</v>
      </c>
    </row>
    <row r="210" spans="7:9">
      <c r="G210" s="491">
        <f t="shared" si="7"/>
        <v>0.56944444444444486</v>
      </c>
      <c r="H210" s="492">
        <f t="shared" si="8"/>
        <v>159.44444444444542</v>
      </c>
      <c r="I210" s="494">
        <f t="shared" si="8"/>
        <v>168.55555555555682</v>
      </c>
    </row>
    <row r="211" spans="7:9">
      <c r="G211" s="491">
        <f t="shared" si="7"/>
        <v>0.57222222222222263</v>
      </c>
      <c r="H211" s="492">
        <f t="shared" si="8"/>
        <v>160.22222222222319</v>
      </c>
      <c r="I211" s="494">
        <f t="shared" si="8"/>
        <v>169.37777777777904</v>
      </c>
    </row>
    <row r="212" spans="7:9">
      <c r="G212" s="491">
        <f t="shared" si="7"/>
        <v>0.5750000000000004</v>
      </c>
      <c r="H212" s="492">
        <f t="shared" si="8"/>
        <v>161.00000000000097</v>
      </c>
      <c r="I212" s="494">
        <f t="shared" si="8"/>
        <v>170.20000000000127</v>
      </c>
    </row>
    <row r="213" spans="7:9">
      <c r="G213" s="491">
        <f t="shared" si="7"/>
        <v>0.57777777777777817</v>
      </c>
      <c r="H213" s="492">
        <f t="shared" si="8"/>
        <v>161.77777777777874</v>
      </c>
      <c r="I213" s="494">
        <f t="shared" si="8"/>
        <v>171.02222222222349</v>
      </c>
    </row>
    <row r="214" spans="7:9">
      <c r="G214" s="491">
        <f t="shared" si="7"/>
        <v>0.58055555555555594</v>
      </c>
      <c r="H214" s="492">
        <f t="shared" si="8"/>
        <v>162.55555555555651</v>
      </c>
      <c r="I214" s="494">
        <f t="shared" si="8"/>
        <v>171.84444444444571</v>
      </c>
    </row>
    <row r="215" spans="7:9">
      <c r="G215" s="491">
        <f t="shared" si="7"/>
        <v>0.5833333333333337</v>
      </c>
      <c r="H215" s="492">
        <f t="shared" si="8"/>
        <v>163.33333333333428</v>
      </c>
      <c r="I215" s="494">
        <f t="shared" si="8"/>
        <v>172.66666666666794</v>
      </c>
    </row>
    <row r="216" spans="7:9">
      <c r="G216" s="491">
        <f t="shared" si="7"/>
        <v>0.58611111111111147</v>
      </c>
      <c r="H216" s="492">
        <f t="shared" si="8"/>
        <v>164.11111111111205</v>
      </c>
      <c r="I216" s="494">
        <f t="shared" si="8"/>
        <v>173.48888888889016</v>
      </c>
    </row>
    <row r="217" spans="7:9">
      <c r="G217" s="491">
        <f t="shared" si="7"/>
        <v>0.58888888888888924</v>
      </c>
      <c r="H217" s="492">
        <f t="shared" si="8"/>
        <v>164.88888888888982</v>
      </c>
      <c r="I217" s="494">
        <f t="shared" si="8"/>
        <v>174.31111111111238</v>
      </c>
    </row>
    <row r="218" spans="7:9">
      <c r="G218" s="491">
        <f t="shared" si="7"/>
        <v>0.59166666666666701</v>
      </c>
      <c r="H218" s="492">
        <f t="shared" si="8"/>
        <v>165.6666666666676</v>
      </c>
      <c r="I218" s="494">
        <f t="shared" si="8"/>
        <v>175.1333333333346</v>
      </c>
    </row>
    <row r="219" spans="7:9">
      <c r="G219" s="491">
        <f t="shared" si="7"/>
        <v>0.59444444444444478</v>
      </c>
      <c r="H219" s="492">
        <f t="shared" si="8"/>
        <v>166.44444444444537</v>
      </c>
      <c r="I219" s="494">
        <f t="shared" si="8"/>
        <v>175.95555555555683</v>
      </c>
    </row>
    <row r="220" spans="7:9">
      <c r="G220" s="491">
        <f t="shared" si="7"/>
        <v>0.59722222222222254</v>
      </c>
      <c r="H220" s="492">
        <f t="shared" si="8"/>
        <v>167.22222222222314</v>
      </c>
      <c r="I220" s="494">
        <f t="shared" si="8"/>
        <v>176.77777777777905</v>
      </c>
    </row>
    <row r="221" spans="7:9">
      <c r="G221" s="491">
        <f t="shared" si="7"/>
        <v>0.60000000000000031</v>
      </c>
      <c r="H221" s="492">
        <f t="shared" si="8"/>
        <v>168.00000000000091</v>
      </c>
      <c r="I221" s="494">
        <f t="shared" si="8"/>
        <v>177.60000000000127</v>
      </c>
    </row>
    <row r="222" spans="7:9">
      <c r="G222" s="491">
        <f t="shared" si="7"/>
        <v>0.60277777777777808</v>
      </c>
      <c r="H222" s="492">
        <f t="shared" si="8"/>
        <v>168.77777777777868</v>
      </c>
      <c r="I222" s="494">
        <f t="shared" si="8"/>
        <v>178.4222222222235</v>
      </c>
    </row>
    <row r="223" spans="7:9">
      <c r="G223" s="491">
        <f t="shared" si="7"/>
        <v>0.60555555555555585</v>
      </c>
      <c r="H223" s="492">
        <f t="shared" si="8"/>
        <v>169.55555555555645</v>
      </c>
      <c r="I223" s="494">
        <f t="shared" si="8"/>
        <v>179.24444444444572</v>
      </c>
    </row>
    <row r="224" spans="7:9">
      <c r="G224" s="491">
        <f t="shared" si="7"/>
        <v>0.60833333333333361</v>
      </c>
      <c r="H224" s="492">
        <f t="shared" si="8"/>
        <v>170.33333333333422</v>
      </c>
      <c r="I224" s="494">
        <f t="shared" si="8"/>
        <v>180.06666666666794</v>
      </c>
    </row>
    <row r="225" spans="7:9">
      <c r="G225" s="491">
        <f t="shared" si="7"/>
        <v>0.61111111111111138</v>
      </c>
      <c r="H225" s="492">
        <f t="shared" si="8"/>
        <v>171.111111111112</v>
      </c>
      <c r="I225" s="494">
        <f t="shared" si="8"/>
        <v>180.88888888889016</v>
      </c>
    </row>
    <row r="226" spans="7:9">
      <c r="G226" s="491">
        <f t="shared" si="7"/>
        <v>0.61388888888888915</v>
      </c>
      <c r="H226" s="492">
        <f t="shared" si="8"/>
        <v>171.88888888888977</v>
      </c>
      <c r="I226" s="494">
        <f t="shared" si="8"/>
        <v>181.71111111111239</v>
      </c>
    </row>
    <row r="227" spans="7:9">
      <c r="G227" s="491">
        <f t="shared" si="7"/>
        <v>0.61666666666666692</v>
      </c>
      <c r="H227" s="492">
        <f t="shared" si="8"/>
        <v>172.66666666666754</v>
      </c>
      <c r="I227" s="494">
        <f t="shared" si="8"/>
        <v>182.53333333333461</v>
      </c>
    </row>
    <row r="228" spans="7:9">
      <c r="G228" s="491">
        <f t="shared" si="7"/>
        <v>0.61944444444444469</v>
      </c>
      <c r="H228" s="492">
        <f t="shared" si="8"/>
        <v>173.44444444444531</v>
      </c>
      <c r="I228" s="494">
        <f t="shared" si="8"/>
        <v>183.35555555555683</v>
      </c>
    </row>
    <row r="229" spans="7:9">
      <c r="G229" s="491">
        <f t="shared" si="7"/>
        <v>0.62222222222222245</v>
      </c>
      <c r="H229" s="492">
        <f t="shared" si="8"/>
        <v>174.22222222222308</v>
      </c>
      <c r="I229" s="494">
        <f t="shared" si="8"/>
        <v>184.17777777777906</v>
      </c>
    </row>
    <row r="230" spans="7:9">
      <c r="G230" s="491">
        <f t="shared" si="7"/>
        <v>0.62500000000000022</v>
      </c>
      <c r="H230" s="492">
        <f t="shared" si="8"/>
        <v>175.00000000000085</v>
      </c>
      <c r="I230" s="494">
        <f t="shared" si="8"/>
        <v>185.00000000000128</v>
      </c>
    </row>
    <row r="231" spans="7:9">
      <c r="G231" s="491">
        <f t="shared" si="7"/>
        <v>0.62777777777777799</v>
      </c>
      <c r="H231" s="492">
        <f t="shared" si="8"/>
        <v>175.77777777777862</v>
      </c>
      <c r="I231" s="494">
        <f t="shared" si="8"/>
        <v>185.8222222222235</v>
      </c>
    </row>
    <row r="232" spans="7:9">
      <c r="G232" s="491">
        <f t="shared" si="7"/>
        <v>0.63055555555555576</v>
      </c>
      <c r="H232" s="492">
        <f t="shared" si="8"/>
        <v>176.5555555555564</v>
      </c>
      <c r="I232" s="494">
        <f t="shared" si="8"/>
        <v>186.64444444444572</v>
      </c>
    </row>
    <row r="233" spans="7:9">
      <c r="G233" s="491">
        <f t="shared" si="7"/>
        <v>0.63333333333333353</v>
      </c>
      <c r="H233" s="492">
        <f t="shared" si="8"/>
        <v>177.33333333333417</v>
      </c>
      <c r="I233" s="494">
        <f t="shared" si="8"/>
        <v>187.46666666666795</v>
      </c>
    </row>
    <row r="234" spans="7:9">
      <c r="G234" s="491">
        <f t="shared" si="7"/>
        <v>0.63611111111111129</v>
      </c>
      <c r="H234" s="492">
        <f t="shared" si="8"/>
        <v>178.11111111111194</v>
      </c>
      <c r="I234" s="494">
        <f t="shared" si="8"/>
        <v>188.28888888889017</v>
      </c>
    </row>
    <row r="235" spans="7:9">
      <c r="G235" s="491">
        <f t="shared" si="7"/>
        <v>0.63888888888888906</v>
      </c>
      <c r="H235" s="492">
        <f t="shared" si="8"/>
        <v>178.88888888888971</v>
      </c>
      <c r="I235" s="494">
        <f t="shared" si="8"/>
        <v>189.11111111111239</v>
      </c>
    </row>
    <row r="236" spans="7:9">
      <c r="G236" s="491">
        <f t="shared" si="7"/>
        <v>0.64166666666666683</v>
      </c>
      <c r="H236" s="492">
        <f t="shared" si="8"/>
        <v>179.66666666666748</v>
      </c>
      <c r="I236" s="494">
        <f t="shared" si="8"/>
        <v>189.93333333333462</v>
      </c>
    </row>
    <row r="237" spans="7:9">
      <c r="G237" s="491">
        <f t="shared" si="7"/>
        <v>0.6444444444444446</v>
      </c>
      <c r="H237" s="492">
        <f t="shared" si="8"/>
        <v>180.44444444444525</v>
      </c>
      <c r="I237" s="494">
        <f t="shared" si="8"/>
        <v>190.75555555555684</v>
      </c>
    </row>
    <row r="238" spans="7:9">
      <c r="G238" s="491">
        <f t="shared" si="7"/>
        <v>0.64722222222222237</v>
      </c>
      <c r="H238" s="492">
        <f t="shared" si="8"/>
        <v>181.22222222222302</v>
      </c>
      <c r="I238" s="494">
        <f t="shared" si="8"/>
        <v>191.57777777777906</v>
      </c>
    </row>
    <row r="239" spans="7:9">
      <c r="G239" s="491">
        <f t="shared" si="7"/>
        <v>0.65000000000000013</v>
      </c>
      <c r="H239" s="492">
        <f t="shared" si="8"/>
        <v>182.0000000000008</v>
      </c>
      <c r="I239" s="494">
        <f t="shared" si="8"/>
        <v>192.40000000000128</v>
      </c>
    </row>
    <row r="240" spans="7:9">
      <c r="G240" s="491">
        <f t="shared" si="7"/>
        <v>0.6527777777777779</v>
      </c>
      <c r="H240" s="492">
        <f t="shared" si="8"/>
        <v>182.77777777777857</v>
      </c>
      <c r="I240" s="494">
        <f t="shared" si="8"/>
        <v>193.22222222222351</v>
      </c>
    </row>
    <row r="241" spans="7:9">
      <c r="G241" s="491">
        <f t="shared" si="7"/>
        <v>0.65555555555555567</v>
      </c>
      <c r="H241" s="492">
        <f t="shared" si="8"/>
        <v>183.55555555555634</v>
      </c>
      <c r="I241" s="494">
        <f t="shared" si="8"/>
        <v>194.04444444444573</v>
      </c>
    </row>
    <row r="242" spans="7:9">
      <c r="G242" s="491">
        <f t="shared" si="7"/>
        <v>0.65833333333333344</v>
      </c>
      <c r="H242" s="492">
        <f t="shared" si="8"/>
        <v>184.33333333333411</v>
      </c>
      <c r="I242" s="494">
        <f t="shared" si="8"/>
        <v>194.86666666666795</v>
      </c>
    </row>
    <row r="243" spans="7:9">
      <c r="G243" s="491">
        <f t="shared" si="7"/>
        <v>0.6611111111111112</v>
      </c>
      <c r="H243" s="492">
        <f t="shared" si="8"/>
        <v>185.11111111111188</v>
      </c>
      <c r="I243" s="494">
        <f t="shared" si="8"/>
        <v>195.68888888889018</v>
      </c>
    </row>
    <row r="244" spans="7:9">
      <c r="G244" s="491">
        <f t="shared" si="7"/>
        <v>0.66388888888888897</v>
      </c>
      <c r="H244" s="492">
        <f t="shared" si="8"/>
        <v>185.88888888888965</v>
      </c>
      <c r="I244" s="494">
        <f t="shared" si="8"/>
        <v>196.5111111111124</v>
      </c>
    </row>
    <row r="245" spans="7:9">
      <c r="G245" s="491">
        <f t="shared" si="7"/>
        <v>0.66666666666666674</v>
      </c>
      <c r="H245" s="492">
        <f t="shared" si="8"/>
        <v>186.66666666666742</v>
      </c>
      <c r="I245" s="494">
        <f t="shared" si="8"/>
        <v>197.33333333333462</v>
      </c>
    </row>
    <row r="246" spans="7:9">
      <c r="G246" s="491">
        <f t="shared" si="7"/>
        <v>0.66944444444444451</v>
      </c>
      <c r="H246" s="492">
        <f t="shared" si="8"/>
        <v>187.4444444444452</v>
      </c>
      <c r="I246" s="494">
        <f t="shared" si="8"/>
        <v>198.15555555555684</v>
      </c>
    </row>
    <row r="247" spans="7:9">
      <c r="G247" s="491">
        <f t="shared" si="7"/>
        <v>0.67222222222222228</v>
      </c>
      <c r="H247" s="492">
        <f t="shared" si="8"/>
        <v>188.22222222222297</v>
      </c>
      <c r="I247" s="494">
        <f t="shared" si="8"/>
        <v>198.97777777777907</v>
      </c>
    </row>
    <row r="248" spans="7:9">
      <c r="G248" s="491">
        <f t="shared" si="7"/>
        <v>0.67500000000000004</v>
      </c>
      <c r="H248" s="492">
        <f t="shared" si="8"/>
        <v>189.00000000000074</v>
      </c>
      <c r="I248" s="494">
        <f t="shared" si="8"/>
        <v>199.80000000000129</v>
      </c>
    </row>
    <row r="249" spans="7:9">
      <c r="G249" s="491">
        <f t="shared" si="7"/>
        <v>0.67777777777777781</v>
      </c>
      <c r="H249" s="492">
        <f t="shared" si="8"/>
        <v>189.77777777777851</v>
      </c>
      <c r="I249" s="494">
        <f t="shared" si="8"/>
        <v>200.62222222222351</v>
      </c>
    </row>
    <row r="250" spans="7:9">
      <c r="G250" s="491">
        <f t="shared" si="7"/>
        <v>0.68055555555555558</v>
      </c>
      <c r="H250" s="492">
        <f t="shared" si="8"/>
        <v>190.55555555555628</v>
      </c>
      <c r="I250" s="494">
        <f t="shared" si="8"/>
        <v>201.44444444444574</v>
      </c>
    </row>
    <row r="251" spans="7:9">
      <c r="G251" s="491">
        <f t="shared" si="7"/>
        <v>0.68333333333333335</v>
      </c>
      <c r="H251" s="492">
        <f t="shared" si="8"/>
        <v>191.33333333333405</v>
      </c>
      <c r="I251" s="494">
        <f t="shared" si="8"/>
        <v>202.26666666666796</v>
      </c>
    </row>
    <row r="252" spans="7:9">
      <c r="G252" s="491">
        <f t="shared" si="7"/>
        <v>0.68611111111111112</v>
      </c>
      <c r="H252" s="492">
        <f t="shared" si="8"/>
        <v>192.11111111111182</v>
      </c>
      <c r="I252" s="494">
        <f t="shared" si="8"/>
        <v>203.08888888889018</v>
      </c>
    </row>
    <row r="253" spans="7:9">
      <c r="G253" s="491">
        <f t="shared" si="7"/>
        <v>0.68888888888888888</v>
      </c>
      <c r="H253" s="492">
        <f t="shared" si="8"/>
        <v>192.8888888888896</v>
      </c>
      <c r="I253" s="494">
        <f t="shared" si="8"/>
        <v>203.9111111111124</v>
      </c>
    </row>
    <row r="254" spans="7:9">
      <c r="G254" s="491">
        <f t="shared" si="7"/>
        <v>0.69166666666666665</v>
      </c>
      <c r="H254" s="492">
        <f t="shared" si="8"/>
        <v>193.66666666666737</v>
      </c>
      <c r="I254" s="494">
        <f t="shared" si="8"/>
        <v>204.73333333333463</v>
      </c>
    </row>
    <row r="255" spans="7:9">
      <c r="G255" s="491">
        <f t="shared" si="7"/>
        <v>0.69444444444444442</v>
      </c>
      <c r="H255" s="492">
        <f t="shared" si="8"/>
        <v>194.44444444444514</v>
      </c>
      <c r="I255" s="494">
        <f t="shared" si="8"/>
        <v>205.55555555555685</v>
      </c>
    </row>
    <row r="256" spans="7:9">
      <c r="G256" s="491">
        <f t="shared" si="7"/>
        <v>0.69722222222222219</v>
      </c>
      <c r="H256" s="492">
        <f t="shared" si="8"/>
        <v>195.22222222222291</v>
      </c>
      <c r="I256" s="494">
        <f t="shared" si="8"/>
        <v>206.37777777777907</v>
      </c>
    </row>
    <row r="257" spans="7:9">
      <c r="G257" s="491">
        <v>0.7</v>
      </c>
      <c r="H257" s="492">
        <f t="shared" si="8"/>
        <v>196.00000000000068</v>
      </c>
      <c r="I257" s="494">
        <f t="shared" si="8"/>
        <v>207.2000000000013</v>
      </c>
    </row>
    <row r="258" spans="7:9">
      <c r="G258" s="491">
        <f t="shared" ref="G258:G321" si="9">G257+0.00277777777777777</f>
        <v>0.70277777777777772</v>
      </c>
      <c r="H258" s="492">
        <f t="shared" si="8"/>
        <v>196.77777777777845</v>
      </c>
      <c r="I258" s="494">
        <f t="shared" si="8"/>
        <v>208.02222222222352</v>
      </c>
    </row>
    <row r="259" spans="7:9">
      <c r="G259" s="491">
        <f t="shared" si="9"/>
        <v>0.70555555555555549</v>
      </c>
      <c r="H259" s="492">
        <f t="shared" si="8"/>
        <v>197.55555555555623</v>
      </c>
      <c r="I259" s="494">
        <f t="shared" si="8"/>
        <v>208.84444444444574</v>
      </c>
    </row>
    <row r="260" spans="7:9">
      <c r="G260" s="491">
        <f t="shared" si="9"/>
        <v>0.70833333333333326</v>
      </c>
      <c r="H260" s="492">
        <f t="shared" si="8"/>
        <v>198.333333333334</v>
      </c>
      <c r="I260" s="494">
        <f t="shared" si="8"/>
        <v>209.66666666666796</v>
      </c>
    </row>
    <row r="261" spans="7:9">
      <c r="G261" s="491">
        <f t="shared" si="9"/>
        <v>0.71111111111111103</v>
      </c>
      <c r="H261" s="492">
        <f t="shared" si="8"/>
        <v>199.11111111111177</v>
      </c>
      <c r="I261" s="494">
        <f t="shared" si="8"/>
        <v>210.48888888889019</v>
      </c>
    </row>
    <row r="262" spans="7:9">
      <c r="G262" s="491">
        <f t="shared" si="9"/>
        <v>0.7138888888888888</v>
      </c>
      <c r="H262" s="492">
        <f t="shared" ref="H262:I325" si="10">H263-(H$365*0.2/72)</f>
        <v>199.88888888888954</v>
      </c>
      <c r="I262" s="494">
        <f t="shared" si="10"/>
        <v>211.31111111111241</v>
      </c>
    </row>
    <row r="263" spans="7:9">
      <c r="G263" s="491">
        <f t="shared" si="9"/>
        <v>0.71666666666666656</v>
      </c>
      <c r="H263" s="492">
        <f t="shared" si="10"/>
        <v>200.66666666666731</v>
      </c>
      <c r="I263" s="494">
        <f t="shared" si="10"/>
        <v>212.13333333333463</v>
      </c>
    </row>
    <row r="264" spans="7:9">
      <c r="G264" s="491">
        <f t="shared" si="9"/>
        <v>0.71944444444444433</v>
      </c>
      <c r="H264" s="492">
        <f t="shared" si="10"/>
        <v>201.44444444444508</v>
      </c>
      <c r="I264" s="494">
        <f t="shared" si="10"/>
        <v>212.95555555555686</v>
      </c>
    </row>
    <row r="265" spans="7:9">
      <c r="G265" s="491">
        <f t="shared" si="9"/>
        <v>0.7222222222222221</v>
      </c>
      <c r="H265" s="492">
        <f t="shared" si="10"/>
        <v>202.22222222222285</v>
      </c>
      <c r="I265" s="494">
        <f t="shared" si="10"/>
        <v>213.77777777777908</v>
      </c>
    </row>
    <row r="266" spans="7:9">
      <c r="G266" s="491">
        <f t="shared" si="9"/>
        <v>0.72499999999999987</v>
      </c>
      <c r="H266" s="492">
        <f t="shared" si="10"/>
        <v>203.00000000000063</v>
      </c>
      <c r="I266" s="494">
        <f t="shared" si="10"/>
        <v>214.6000000000013</v>
      </c>
    </row>
    <row r="267" spans="7:9">
      <c r="G267" s="491">
        <f t="shared" si="9"/>
        <v>0.72777777777777763</v>
      </c>
      <c r="H267" s="492">
        <f t="shared" si="10"/>
        <v>203.7777777777784</v>
      </c>
      <c r="I267" s="494">
        <f t="shared" si="10"/>
        <v>215.42222222222352</v>
      </c>
    </row>
    <row r="268" spans="7:9">
      <c r="G268" s="491">
        <f t="shared" si="9"/>
        <v>0.7305555555555554</v>
      </c>
      <c r="H268" s="492">
        <f t="shared" si="10"/>
        <v>204.55555555555617</v>
      </c>
      <c r="I268" s="494">
        <f t="shared" si="10"/>
        <v>216.24444444444575</v>
      </c>
    </row>
    <row r="269" spans="7:9">
      <c r="G269" s="491">
        <f t="shared" si="9"/>
        <v>0.73333333333333317</v>
      </c>
      <c r="H269" s="492">
        <f t="shared" si="10"/>
        <v>205.33333333333394</v>
      </c>
      <c r="I269" s="494">
        <f t="shared" si="10"/>
        <v>217.06666666666797</v>
      </c>
    </row>
    <row r="270" spans="7:9">
      <c r="G270" s="491">
        <f t="shared" si="9"/>
        <v>0.73611111111111094</v>
      </c>
      <c r="H270" s="492">
        <f t="shared" si="10"/>
        <v>206.11111111111171</v>
      </c>
      <c r="I270" s="494">
        <f t="shared" si="10"/>
        <v>217.88888888889019</v>
      </c>
    </row>
    <row r="271" spans="7:9">
      <c r="G271" s="491">
        <f t="shared" si="9"/>
        <v>0.73888888888888871</v>
      </c>
      <c r="H271" s="492">
        <f t="shared" si="10"/>
        <v>206.88888888888948</v>
      </c>
      <c r="I271" s="494">
        <f t="shared" si="10"/>
        <v>218.71111111111242</v>
      </c>
    </row>
    <row r="272" spans="7:9">
      <c r="G272" s="491">
        <f t="shared" si="9"/>
        <v>0.74166666666666647</v>
      </c>
      <c r="H272" s="492">
        <f t="shared" si="10"/>
        <v>207.66666666666725</v>
      </c>
      <c r="I272" s="494">
        <f t="shared" si="10"/>
        <v>219.53333333333464</v>
      </c>
    </row>
    <row r="273" spans="7:9">
      <c r="G273" s="491">
        <f t="shared" si="9"/>
        <v>0.74444444444444424</v>
      </c>
      <c r="H273" s="492">
        <f t="shared" si="10"/>
        <v>208.44444444444503</v>
      </c>
      <c r="I273" s="494">
        <f t="shared" si="10"/>
        <v>220.35555555555686</v>
      </c>
    </row>
    <row r="274" spans="7:9">
      <c r="G274" s="491">
        <f t="shared" si="9"/>
        <v>0.74722222222222201</v>
      </c>
      <c r="H274" s="492">
        <f t="shared" si="10"/>
        <v>209.2222222222228</v>
      </c>
      <c r="I274" s="494">
        <f t="shared" si="10"/>
        <v>221.17777777777908</v>
      </c>
    </row>
    <row r="275" spans="7:9">
      <c r="G275" s="491">
        <f t="shared" si="9"/>
        <v>0.74999999999999978</v>
      </c>
      <c r="H275" s="492">
        <f t="shared" si="10"/>
        <v>210.00000000000057</v>
      </c>
      <c r="I275" s="494">
        <f t="shared" si="10"/>
        <v>222.00000000000131</v>
      </c>
    </row>
    <row r="276" spans="7:9">
      <c r="G276" s="491">
        <f t="shared" si="9"/>
        <v>0.75277777777777755</v>
      </c>
      <c r="H276" s="492">
        <f t="shared" si="10"/>
        <v>210.77777777777834</v>
      </c>
      <c r="I276" s="494">
        <f t="shared" si="10"/>
        <v>222.82222222222353</v>
      </c>
    </row>
    <row r="277" spans="7:9">
      <c r="G277" s="491">
        <f t="shared" si="9"/>
        <v>0.75555555555555531</v>
      </c>
      <c r="H277" s="492">
        <f t="shared" si="10"/>
        <v>211.55555555555611</v>
      </c>
      <c r="I277" s="494">
        <f t="shared" si="10"/>
        <v>223.64444444444575</v>
      </c>
    </row>
    <row r="278" spans="7:9">
      <c r="G278" s="491">
        <f t="shared" si="9"/>
        <v>0.75833333333333308</v>
      </c>
      <c r="H278" s="492">
        <f t="shared" si="10"/>
        <v>212.33333333333388</v>
      </c>
      <c r="I278" s="494">
        <f t="shared" si="10"/>
        <v>224.46666666666798</v>
      </c>
    </row>
    <row r="279" spans="7:9">
      <c r="G279" s="491">
        <f t="shared" si="9"/>
        <v>0.76111111111111085</v>
      </c>
      <c r="H279" s="492">
        <f t="shared" si="10"/>
        <v>213.11111111111165</v>
      </c>
      <c r="I279" s="494">
        <f t="shared" si="10"/>
        <v>225.2888888888902</v>
      </c>
    </row>
    <row r="280" spans="7:9">
      <c r="G280" s="491">
        <f t="shared" si="9"/>
        <v>0.76388888888888862</v>
      </c>
      <c r="H280" s="492">
        <f t="shared" si="10"/>
        <v>213.88888888888943</v>
      </c>
      <c r="I280" s="494">
        <f t="shared" si="10"/>
        <v>226.11111111111242</v>
      </c>
    </row>
    <row r="281" spans="7:9">
      <c r="G281" s="491">
        <f t="shared" si="9"/>
        <v>0.76666666666666639</v>
      </c>
      <c r="H281" s="492">
        <f t="shared" si="10"/>
        <v>214.6666666666672</v>
      </c>
      <c r="I281" s="494">
        <f t="shared" si="10"/>
        <v>226.93333333333464</v>
      </c>
    </row>
    <row r="282" spans="7:9">
      <c r="G282" s="491">
        <f t="shared" si="9"/>
        <v>0.76944444444444415</v>
      </c>
      <c r="H282" s="492">
        <f t="shared" si="10"/>
        <v>215.44444444444497</v>
      </c>
      <c r="I282" s="494">
        <f t="shared" si="10"/>
        <v>227.75555555555687</v>
      </c>
    </row>
    <row r="283" spans="7:9">
      <c r="G283" s="491">
        <f t="shared" si="9"/>
        <v>0.77222222222222192</v>
      </c>
      <c r="H283" s="492">
        <f t="shared" si="10"/>
        <v>216.22222222222274</v>
      </c>
      <c r="I283" s="494">
        <f t="shared" si="10"/>
        <v>228.57777777777909</v>
      </c>
    </row>
    <row r="284" spans="7:9">
      <c r="G284" s="491">
        <f t="shared" si="9"/>
        <v>0.77499999999999969</v>
      </c>
      <c r="H284" s="492">
        <f t="shared" si="10"/>
        <v>217.00000000000051</v>
      </c>
      <c r="I284" s="494">
        <f t="shared" si="10"/>
        <v>229.40000000000131</v>
      </c>
    </row>
    <row r="285" spans="7:9">
      <c r="G285" s="491">
        <f t="shared" si="9"/>
        <v>0.77777777777777746</v>
      </c>
      <c r="H285" s="492">
        <f t="shared" si="10"/>
        <v>217.77777777777828</v>
      </c>
      <c r="I285" s="494">
        <f t="shared" si="10"/>
        <v>230.22222222222354</v>
      </c>
    </row>
    <row r="286" spans="7:9">
      <c r="G286" s="491">
        <f t="shared" si="9"/>
        <v>0.78055555555555522</v>
      </c>
      <c r="H286" s="492">
        <f t="shared" si="10"/>
        <v>218.55555555555605</v>
      </c>
      <c r="I286" s="494">
        <f t="shared" si="10"/>
        <v>231.04444444444576</v>
      </c>
    </row>
    <row r="287" spans="7:9">
      <c r="G287" s="491">
        <f t="shared" si="9"/>
        <v>0.78333333333333299</v>
      </c>
      <c r="H287" s="492">
        <f t="shared" si="10"/>
        <v>219.33333333333383</v>
      </c>
      <c r="I287" s="494">
        <f t="shared" si="10"/>
        <v>231.86666666666798</v>
      </c>
    </row>
    <row r="288" spans="7:9">
      <c r="G288" s="491">
        <f t="shared" si="9"/>
        <v>0.78611111111111076</v>
      </c>
      <c r="H288" s="492">
        <f t="shared" si="10"/>
        <v>220.1111111111116</v>
      </c>
      <c r="I288" s="494">
        <f t="shared" si="10"/>
        <v>232.6888888888902</v>
      </c>
    </row>
    <row r="289" spans="7:9">
      <c r="G289" s="491">
        <f t="shared" si="9"/>
        <v>0.78888888888888853</v>
      </c>
      <c r="H289" s="492">
        <f t="shared" si="10"/>
        <v>220.88888888888937</v>
      </c>
      <c r="I289" s="494">
        <f t="shared" si="10"/>
        <v>233.51111111111243</v>
      </c>
    </row>
    <row r="290" spans="7:9">
      <c r="G290" s="491">
        <f t="shared" si="9"/>
        <v>0.7916666666666663</v>
      </c>
      <c r="H290" s="492">
        <f t="shared" si="10"/>
        <v>221.66666666666714</v>
      </c>
      <c r="I290" s="494">
        <f t="shared" si="10"/>
        <v>234.33333333333465</v>
      </c>
    </row>
    <row r="291" spans="7:9">
      <c r="G291" s="491">
        <f t="shared" si="9"/>
        <v>0.79444444444444406</v>
      </c>
      <c r="H291" s="492">
        <f t="shared" si="10"/>
        <v>222.44444444444491</v>
      </c>
      <c r="I291" s="494">
        <f t="shared" si="10"/>
        <v>235.15555555555687</v>
      </c>
    </row>
    <row r="292" spans="7:9">
      <c r="G292" s="491">
        <f t="shared" si="9"/>
        <v>0.79722222222222183</v>
      </c>
      <c r="H292" s="492">
        <f t="shared" si="10"/>
        <v>223.22222222222268</v>
      </c>
      <c r="I292" s="494">
        <f t="shared" si="10"/>
        <v>235.9777777777791</v>
      </c>
    </row>
    <row r="293" spans="7:9">
      <c r="G293" s="491">
        <f t="shared" si="9"/>
        <v>0.7999999999999996</v>
      </c>
      <c r="H293" s="492">
        <f t="shared" si="10"/>
        <v>224.00000000000045</v>
      </c>
      <c r="I293" s="494">
        <f t="shared" si="10"/>
        <v>236.80000000000132</v>
      </c>
    </row>
    <row r="294" spans="7:9">
      <c r="G294" s="491">
        <f t="shared" si="9"/>
        <v>0.80277777777777737</v>
      </c>
      <c r="H294" s="492">
        <f t="shared" si="10"/>
        <v>224.77777777777823</v>
      </c>
      <c r="I294" s="494">
        <f t="shared" si="10"/>
        <v>237.62222222222354</v>
      </c>
    </row>
    <row r="295" spans="7:9">
      <c r="G295" s="491">
        <f t="shared" si="9"/>
        <v>0.80555555555555514</v>
      </c>
      <c r="H295" s="492">
        <f t="shared" si="10"/>
        <v>225.555555555556</v>
      </c>
      <c r="I295" s="494">
        <f t="shared" si="10"/>
        <v>238.44444444444576</v>
      </c>
    </row>
    <row r="296" spans="7:9">
      <c r="G296" s="491">
        <f t="shared" si="9"/>
        <v>0.8083333333333329</v>
      </c>
      <c r="H296" s="492">
        <f t="shared" si="10"/>
        <v>226.33333333333377</v>
      </c>
      <c r="I296" s="494">
        <f t="shared" si="10"/>
        <v>239.26666666666799</v>
      </c>
    </row>
    <row r="297" spans="7:9">
      <c r="G297" s="491">
        <f t="shared" si="9"/>
        <v>0.81111111111111067</v>
      </c>
      <c r="H297" s="492">
        <f t="shared" si="10"/>
        <v>227.11111111111154</v>
      </c>
      <c r="I297" s="494">
        <f t="shared" si="10"/>
        <v>240.08888888889021</v>
      </c>
    </row>
    <row r="298" spans="7:9">
      <c r="G298" s="491">
        <f t="shared" si="9"/>
        <v>0.81388888888888844</v>
      </c>
      <c r="H298" s="492">
        <f t="shared" si="10"/>
        <v>227.88888888888931</v>
      </c>
      <c r="I298" s="494">
        <f t="shared" si="10"/>
        <v>240.91111111111243</v>
      </c>
    </row>
    <row r="299" spans="7:9">
      <c r="G299" s="491">
        <f t="shared" si="9"/>
        <v>0.81666666666666621</v>
      </c>
      <c r="H299" s="492">
        <f t="shared" si="10"/>
        <v>228.66666666666708</v>
      </c>
      <c r="I299" s="494">
        <f t="shared" si="10"/>
        <v>241.73333333333466</v>
      </c>
    </row>
    <row r="300" spans="7:9">
      <c r="G300" s="491">
        <f t="shared" si="9"/>
        <v>0.81944444444444398</v>
      </c>
      <c r="H300" s="492">
        <f t="shared" si="10"/>
        <v>229.44444444444485</v>
      </c>
      <c r="I300" s="494">
        <f t="shared" si="10"/>
        <v>242.55555555555688</v>
      </c>
    </row>
    <row r="301" spans="7:9">
      <c r="G301" s="491">
        <f t="shared" si="9"/>
        <v>0.82222222222222174</v>
      </c>
      <c r="H301" s="492">
        <f t="shared" si="10"/>
        <v>230.22222222222263</v>
      </c>
      <c r="I301" s="494">
        <f t="shared" si="10"/>
        <v>243.3777777777791</v>
      </c>
    </row>
    <row r="302" spans="7:9">
      <c r="G302" s="491">
        <f t="shared" si="9"/>
        <v>0.82499999999999951</v>
      </c>
      <c r="H302" s="492">
        <f t="shared" si="10"/>
        <v>231.0000000000004</v>
      </c>
      <c r="I302" s="494">
        <f t="shared" si="10"/>
        <v>244.20000000000132</v>
      </c>
    </row>
    <row r="303" spans="7:9">
      <c r="G303" s="491">
        <f t="shared" si="9"/>
        <v>0.82777777777777728</v>
      </c>
      <c r="H303" s="492">
        <f t="shared" si="10"/>
        <v>231.77777777777817</v>
      </c>
      <c r="I303" s="494">
        <f t="shared" si="10"/>
        <v>245.02222222222355</v>
      </c>
    </row>
    <row r="304" spans="7:9">
      <c r="G304" s="491">
        <f t="shared" si="9"/>
        <v>0.83055555555555505</v>
      </c>
      <c r="H304" s="492">
        <f t="shared" si="10"/>
        <v>232.55555555555594</v>
      </c>
      <c r="I304" s="494">
        <f t="shared" si="10"/>
        <v>245.84444444444577</v>
      </c>
    </row>
    <row r="305" spans="7:9">
      <c r="G305" s="491">
        <f t="shared" si="9"/>
        <v>0.83333333333333282</v>
      </c>
      <c r="H305" s="492">
        <f t="shared" si="10"/>
        <v>233.33333333333371</v>
      </c>
      <c r="I305" s="494">
        <f t="shared" si="10"/>
        <v>246.66666666666799</v>
      </c>
    </row>
    <row r="306" spans="7:9">
      <c r="G306" s="491">
        <f t="shared" si="9"/>
        <v>0.83611111111111058</v>
      </c>
      <c r="H306" s="492">
        <f t="shared" si="10"/>
        <v>234.11111111111148</v>
      </c>
      <c r="I306" s="494">
        <f t="shared" si="10"/>
        <v>247.48888888889022</v>
      </c>
    </row>
    <row r="307" spans="7:9">
      <c r="G307" s="491">
        <f t="shared" si="9"/>
        <v>0.83888888888888835</v>
      </c>
      <c r="H307" s="492">
        <f t="shared" si="10"/>
        <v>234.88888888888926</v>
      </c>
      <c r="I307" s="494">
        <f t="shared" si="10"/>
        <v>248.31111111111244</v>
      </c>
    </row>
    <row r="308" spans="7:9">
      <c r="G308" s="491">
        <f t="shared" si="9"/>
        <v>0.84166666666666612</v>
      </c>
      <c r="H308" s="492">
        <f t="shared" si="10"/>
        <v>235.66666666666703</v>
      </c>
      <c r="I308" s="494">
        <f t="shared" si="10"/>
        <v>249.13333333333466</v>
      </c>
    </row>
    <row r="309" spans="7:9">
      <c r="G309" s="491">
        <f t="shared" si="9"/>
        <v>0.84444444444444389</v>
      </c>
      <c r="H309" s="492">
        <f t="shared" si="10"/>
        <v>236.4444444444448</v>
      </c>
      <c r="I309" s="494">
        <f t="shared" si="10"/>
        <v>249.95555555555688</v>
      </c>
    </row>
    <row r="310" spans="7:9">
      <c r="G310" s="491">
        <f t="shared" si="9"/>
        <v>0.84722222222222165</v>
      </c>
      <c r="H310" s="492">
        <f t="shared" si="10"/>
        <v>237.22222222222257</v>
      </c>
      <c r="I310" s="494">
        <f t="shared" si="10"/>
        <v>250.77777777777911</v>
      </c>
    </row>
    <row r="311" spans="7:9">
      <c r="G311" s="491">
        <f t="shared" si="9"/>
        <v>0.84999999999999942</v>
      </c>
      <c r="H311" s="492">
        <f t="shared" si="10"/>
        <v>238.00000000000034</v>
      </c>
      <c r="I311" s="494">
        <f t="shared" si="10"/>
        <v>251.60000000000133</v>
      </c>
    </row>
    <row r="312" spans="7:9">
      <c r="G312" s="491">
        <f t="shared" si="9"/>
        <v>0.85277777777777719</v>
      </c>
      <c r="H312" s="492">
        <f t="shared" si="10"/>
        <v>238.77777777777811</v>
      </c>
      <c r="I312" s="494">
        <f t="shared" si="10"/>
        <v>252.42222222222355</v>
      </c>
    </row>
    <row r="313" spans="7:9">
      <c r="G313" s="491">
        <f t="shared" si="9"/>
        <v>0.85555555555555496</v>
      </c>
      <c r="H313" s="492">
        <f t="shared" si="10"/>
        <v>239.55555555555588</v>
      </c>
      <c r="I313" s="494">
        <f t="shared" si="10"/>
        <v>253.24444444444578</v>
      </c>
    </row>
    <row r="314" spans="7:9">
      <c r="G314" s="491">
        <f t="shared" si="9"/>
        <v>0.85833333333333273</v>
      </c>
      <c r="H314" s="492">
        <f t="shared" si="10"/>
        <v>240.33333333333366</v>
      </c>
      <c r="I314" s="494">
        <f t="shared" si="10"/>
        <v>254.066666666668</v>
      </c>
    </row>
    <row r="315" spans="7:9">
      <c r="G315" s="491">
        <f t="shared" si="9"/>
        <v>0.86111111111111049</v>
      </c>
      <c r="H315" s="492">
        <f t="shared" si="10"/>
        <v>241.11111111111143</v>
      </c>
      <c r="I315" s="494">
        <f t="shared" si="10"/>
        <v>254.88888888889022</v>
      </c>
    </row>
    <row r="316" spans="7:9">
      <c r="G316" s="491">
        <f t="shared" si="9"/>
        <v>0.86388888888888826</v>
      </c>
      <c r="H316" s="492">
        <f t="shared" si="10"/>
        <v>241.8888888888892</v>
      </c>
      <c r="I316" s="494">
        <f t="shared" si="10"/>
        <v>255.71111111111244</v>
      </c>
    </row>
    <row r="317" spans="7:9">
      <c r="G317" s="491">
        <f t="shared" si="9"/>
        <v>0.86666666666666603</v>
      </c>
      <c r="H317" s="492">
        <f t="shared" si="10"/>
        <v>242.66666666666697</v>
      </c>
      <c r="I317" s="494">
        <f t="shared" si="10"/>
        <v>256.53333333333467</v>
      </c>
    </row>
    <row r="318" spans="7:9">
      <c r="G318" s="491">
        <f t="shared" si="9"/>
        <v>0.8694444444444438</v>
      </c>
      <c r="H318" s="492">
        <f t="shared" si="10"/>
        <v>243.44444444444474</v>
      </c>
      <c r="I318" s="494">
        <f t="shared" si="10"/>
        <v>257.35555555555686</v>
      </c>
    </row>
    <row r="319" spans="7:9">
      <c r="G319" s="491">
        <f t="shared" si="9"/>
        <v>0.87222222222222157</v>
      </c>
      <c r="H319" s="492">
        <f t="shared" si="10"/>
        <v>244.22222222222251</v>
      </c>
      <c r="I319" s="494">
        <f t="shared" si="10"/>
        <v>258.17777777777906</v>
      </c>
    </row>
    <row r="320" spans="7:9">
      <c r="G320" s="491">
        <f t="shared" si="9"/>
        <v>0.87499999999999933</v>
      </c>
      <c r="H320" s="492">
        <f t="shared" si="10"/>
        <v>245.00000000000028</v>
      </c>
      <c r="I320" s="494">
        <f t="shared" si="10"/>
        <v>259.00000000000125</v>
      </c>
    </row>
    <row r="321" spans="7:9">
      <c r="G321" s="491">
        <f t="shared" si="9"/>
        <v>0.8777777777777771</v>
      </c>
      <c r="H321" s="492">
        <f t="shared" si="10"/>
        <v>245.77777777777806</v>
      </c>
      <c r="I321" s="494">
        <f t="shared" si="10"/>
        <v>259.82222222222344</v>
      </c>
    </row>
    <row r="322" spans="7:9">
      <c r="G322" s="491">
        <f t="shared" ref="G322:G365" si="11">G321+0.00277777777777777</f>
        <v>0.88055555555555487</v>
      </c>
      <c r="H322" s="492">
        <f t="shared" si="10"/>
        <v>246.55555555555583</v>
      </c>
      <c r="I322" s="494">
        <f t="shared" si="10"/>
        <v>260.64444444444564</v>
      </c>
    </row>
    <row r="323" spans="7:9">
      <c r="G323" s="491">
        <f t="shared" si="11"/>
        <v>0.88333333333333264</v>
      </c>
      <c r="H323" s="492">
        <f t="shared" si="10"/>
        <v>247.3333333333336</v>
      </c>
      <c r="I323" s="494">
        <f t="shared" si="10"/>
        <v>261.46666666666783</v>
      </c>
    </row>
    <row r="324" spans="7:9">
      <c r="G324" s="491">
        <f t="shared" si="11"/>
        <v>0.88611111111111041</v>
      </c>
      <c r="H324" s="492">
        <f t="shared" si="10"/>
        <v>248.11111111111137</v>
      </c>
      <c r="I324" s="494">
        <f t="shared" si="10"/>
        <v>262.28888888889003</v>
      </c>
    </row>
    <row r="325" spans="7:9">
      <c r="G325" s="491">
        <f t="shared" si="11"/>
        <v>0.88888888888888817</v>
      </c>
      <c r="H325" s="492">
        <f t="shared" si="10"/>
        <v>248.88888888888914</v>
      </c>
      <c r="I325" s="494">
        <f t="shared" si="10"/>
        <v>263.11111111111222</v>
      </c>
    </row>
    <row r="326" spans="7:9">
      <c r="G326" s="491">
        <f t="shared" si="11"/>
        <v>0.89166666666666594</v>
      </c>
      <c r="H326" s="492">
        <f t="shared" ref="H326:I364" si="12">H327-(H$365*0.2/72)</f>
        <v>249.66666666666691</v>
      </c>
      <c r="I326" s="494">
        <f t="shared" si="12"/>
        <v>263.93333333333442</v>
      </c>
    </row>
    <row r="327" spans="7:9">
      <c r="G327" s="491">
        <f t="shared" si="11"/>
        <v>0.89444444444444371</v>
      </c>
      <c r="H327" s="492">
        <f t="shared" si="12"/>
        <v>250.44444444444468</v>
      </c>
      <c r="I327" s="494">
        <f t="shared" si="12"/>
        <v>264.75555555555661</v>
      </c>
    </row>
    <row r="328" spans="7:9">
      <c r="G328" s="491">
        <f t="shared" si="11"/>
        <v>0.89722222222222148</v>
      </c>
      <c r="H328" s="492">
        <f t="shared" si="12"/>
        <v>251.22222222222246</v>
      </c>
      <c r="I328" s="494">
        <f t="shared" si="12"/>
        <v>265.57777777777881</v>
      </c>
    </row>
    <row r="329" spans="7:9">
      <c r="G329" s="491">
        <f t="shared" si="11"/>
        <v>0.89999999999999925</v>
      </c>
      <c r="H329" s="492">
        <f t="shared" si="12"/>
        <v>252.00000000000023</v>
      </c>
      <c r="I329" s="494">
        <f t="shared" si="12"/>
        <v>266.400000000001</v>
      </c>
    </row>
    <row r="330" spans="7:9">
      <c r="G330" s="491">
        <f t="shared" si="11"/>
        <v>0.90277777777777701</v>
      </c>
      <c r="H330" s="492">
        <f t="shared" si="12"/>
        <v>252.777777777778</v>
      </c>
      <c r="I330" s="494">
        <f t="shared" si="12"/>
        <v>267.22222222222319</v>
      </c>
    </row>
    <row r="331" spans="7:9">
      <c r="G331" s="491">
        <f t="shared" si="11"/>
        <v>0.90555555555555478</v>
      </c>
      <c r="H331" s="492">
        <f t="shared" si="12"/>
        <v>253.55555555555577</v>
      </c>
      <c r="I331" s="494">
        <f t="shared" si="12"/>
        <v>268.04444444444539</v>
      </c>
    </row>
    <row r="332" spans="7:9">
      <c r="G332" s="491">
        <f t="shared" si="11"/>
        <v>0.90833333333333255</v>
      </c>
      <c r="H332" s="492">
        <f t="shared" si="12"/>
        <v>254.33333333333354</v>
      </c>
      <c r="I332" s="494">
        <f t="shared" si="12"/>
        <v>268.86666666666758</v>
      </c>
    </row>
    <row r="333" spans="7:9">
      <c r="G333" s="491">
        <f t="shared" si="11"/>
        <v>0.91111111111111032</v>
      </c>
      <c r="H333" s="492">
        <f t="shared" si="12"/>
        <v>255.11111111111131</v>
      </c>
      <c r="I333" s="494">
        <f t="shared" si="12"/>
        <v>269.68888888888978</v>
      </c>
    </row>
    <row r="334" spans="7:9">
      <c r="G334" s="491">
        <f t="shared" si="11"/>
        <v>0.91388888888888808</v>
      </c>
      <c r="H334" s="492">
        <f t="shared" si="12"/>
        <v>255.88888888888908</v>
      </c>
      <c r="I334" s="494">
        <f t="shared" si="12"/>
        <v>270.51111111111197</v>
      </c>
    </row>
    <row r="335" spans="7:9">
      <c r="G335" s="491">
        <f t="shared" si="11"/>
        <v>0.91666666666666585</v>
      </c>
      <c r="H335" s="492">
        <f t="shared" si="12"/>
        <v>256.66666666666686</v>
      </c>
      <c r="I335" s="494">
        <f t="shared" si="12"/>
        <v>271.33333333333417</v>
      </c>
    </row>
    <row r="336" spans="7:9">
      <c r="G336" s="491">
        <f t="shared" si="11"/>
        <v>0.91944444444444362</v>
      </c>
      <c r="H336" s="492">
        <f t="shared" si="12"/>
        <v>257.44444444444463</v>
      </c>
      <c r="I336" s="494">
        <f t="shared" si="12"/>
        <v>272.15555555555636</v>
      </c>
    </row>
    <row r="337" spans="7:9">
      <c r="G337" s="491">
        <f t="shared" si="11"/>
        <v>0.92222222222222139</v>
      </c>
      <c r="H337" s="492">
        <f t="shared" si="12"/>
        <v>258.2222222222224</v>
      </c>
      <c r="I337" s="494">
        <f t="shared" si="12"/>
        <v>272.97777777777856</v>
      </c>
    </row>
    <row r="338" spans="7:9">
      <c r="G338" s="491">
        <f t="shared" si="11"/>
        <v>0.92499999999999916</v>
      </c>
      <c r="H338" s="492">
        <f t="shared" si="12"/>
        <v>259.00000000000017</v>
      </c>
      <c r="I338" s="494">
        <f t="shared" si="12"/>
        <v>273.80000000000075</v>
      </c>
    </row>
    <row r="339" spans="7:9">
      <c r="G339" s="491">
        <f t="shared" si="11"/>
        <v>0.92777777777777692</v>
      </c>
      <c r="H339" s="492">
        <f t="shared" si="12"/>
        <v>259.77777777777794</v>
      </c>
      <c r="I339" s="494">
        <f t="shared" si="12"/>
        <v>274.62222222222294</v>
      </c>
    </row>
    <row r="340" spans="7:9">
      <c r="G340" s="491">
        <f t="shared" si="11"/>
        <v>0.93055555555555469</v>
      </c>
      <c r="H340" s="492">
        <f t="shared" si="12"/>
        <v>260.55555555555571</v>
      </c>
      <c r="I340" s="494">
        <f t="shared" si="12"/>
        <v>275.44444444444514</v>
      </c>
    </row>
    <row r="341" spans="7:9">
      <c r="G341" s="491">
        <f t="shared" si="11"/>
        <v>0.93333333333333246</v>
      </c>
      <c r="H341" s="492">
        <f t="shared" si="12"/>
        <v>261.33333333333348</v>
      </c>
      <c r="I341" s="494">
        <f t="shared" si="12"/>
        <v>276.26666666666733</v>
      </c>
    </row>
    <row r="342" spans="7:9">
      <c r="G342" s="491">
        <f t="shared" si="11"/>
        <v>0.93611111111111023</v>
      </c>
      <c r="H342" s="492">
        <f t="shared" si="12"/>
        <v>262.11111111111126</v>
      </c>
      <c r="I342" s="494">
        <f t="shared" si="12"/>
        <v>277.08888888888953</v>
      </c>
    </row>
    <row r="343" spans="7:9">
      <c r="G343" s="491">
        <f t="shared" si="11"/>
        <v>0.938888888888888</v>
      </c>
      <c r="H343" s="492">
        <f t="shared" si="12"/>
        <v>262.88888888888903</v>
      </c>
      <c r="I343" s="494">
        <f t="shared" si="12"/>
        <v>277.91111111111172</v>
      </c>
    </row>
    <row r="344" spans="7:9">
      <c r="G344" s="491">
        <f t="shared" si="11"/>
        <v>0.94166666666666576</v>
      </c>
      <c r="H344" s="492">
        <f t="shared" si="12"/>
        <v>263.6666666666668</v>
      </c>
      <c r="I344" s="494">
        <f t="shared" si="12"/>
        <v>278.73333333333392</v>
      </c>
    </row>
    <row r="345" spans="7:9">
      <c r="G345" s="491">
        <f t="shared" si="11"/>
        <v>0.94444444444444353</v>
      </c>
      <c r="H345" s="492">
        <f t="shared" si="12"/>
        <v>264.44444444444457</v>
      </c>
      <c r="I345" s="494">
        <f t="shared" si="12"/>
        <v>279.55555555555611</v>
      </c>
    </row>
    <row r="346" spans="7:9">
      <c r="G346" s="491">
        <f t="shared" si="11"/>
        <v>0.9472222222222213</v>
      </c>
      <c r="H346" s="492">
        <f t="shared" si="12"/>
        <v>265.22222222222234</v>
      </c>
      <c r="I346" s="494">
        <f t="shared" si="12"/>
        <v>280.37777777777831</v>
      </c>
    </row>
    <row r="347" spans="7:9">
      <c r="G347" s="491">
        <f t="shared" si="11"/>
        <v>0.94999999999999907</v>
      </c>
      <c r="H347" s="492">
        <f t="shared" si="12"/>
        <v>266.00000000000011</v>
      </c>
      <c r="I347" s="494">
        <f t="shared" si="12"/>
        <v>281.2000000000005</v>
      </c>
    </row>
    <row r="348" spans="7:9">
      <c r="G348" s="491">
        <f t="shared" si="11"/>
        <v>0.95277777777777684</v>
      </c>
      <c r="H348" s="492">
        <f t="shared" si="12"/>
        <v>266.77777777777789</v>
      </c>
      <c r="I348" s="494">
        <f t="shared" si="12"/>
        <v>282.02222222222269</v>
      </c>
    </row>
    <row r="349" spans="7:9">
      <c r="G349" s="491">
        <f t="shared" si="11"/>
        <v>0.9555555555555546</v>
      </c>
      <c r="H349" s="492">
        <f t="shared" si="12"/>
        <v>267.55555555555566</v>
      </c>
      <c r="I349" s="494">
        <f t="shared" si="12"/>
        <v>282.84444444444489</v>
      </c>
    </row>
    <row r="350" spans="7:9">
      <c r="G350" s="491">
        <f t="shared" si="11"/>
        <v>0.95833333333333237</v>
      </c>
      <c r="H350" s="492">
        <f t="shared" si="12"/>
        <v>268.33333333333343</v>
      </c>
      <c r="I350" s="494">
        <f t="shared" si="12"/>
        <v>283.66666666666708</v>
      </c>
    </row>
    <row r="351" spans="7:9">
      <c r="G351" s="491">
        <f t="shared" si="11"/>
        <v>0.96111111111111014</v>
      </c>
      <c r="H351" s="492">
        <f t="shared" si="12"/>
        <v>269.1111111111112</v>
      </c>
      <c r="I351" s="494">
        <f t="shared" si="12"/>
        <v>284.48888888888928</v>
      </c>
    </row>
    <row r="352" spans="7:9">
      <c r="G352" s="491">
        <f t="shared" si="11"/>
        <v>0.96388888888888791</v>
      </c>
      <c r="H352" s="492">
        <f t="shared" si="12"/>
        <v>269.88888888888897</v>
      </c>
      <c r="I352" s="494">
        <f t="shared" si="12"/>
        <v>285.31111111111147</v>
      </c>
    </row>
    <row r="353" spans="7:9">
      <c r="G353" s="491">
        <f t="shared" si="11"/>
        <v>0.96666666666666567</v>
      </c>
      <c r="H353" s="492">
        <f t="shared" si="12"/>
        <v>270.66666666666674</v>
      </c>
      <c r="I353" s="494">
        <f t="shared" si="12"/>
        <v>286.13333333333367</v>
      </c>
    </row>
    <row r="354" spans="7:9">
      <c r="G354" s="491">
        <f t="shared" si="11"/>
        <v>0.96944444444444344</v>
      </c>
      <c r="H354" s="492">
        <f t="shared" si="12"/>
        <v>271.44444444444451</v>
      </c>
      <c r="I354" s="494">
        <f t="shared" si="12"/>
        <v>286.95555555555586</v>
      </c>
    </row>
    <row r="355" spans="7:9">
      <c r="G355" s="491">
        <f t="shared" si="11"/>
        <v>0.97222222222222121</v>
      </c>
      <c r="H355" s="492">
        <f t="shared" si="12"/>
        <v>272.22222222222229</v>
      </c>
      <c r="I355" s="494">
        <f t="shared" si="12"/>
        <v>287.77777777777806</v>
      </c>
    </row>
    <row r="356" spans="7:9">
      <c r="G356" s="491">
        <f t="shared" si="11"/>
        <v>0.97499999999999898</v>
      </c>
      <c r="H356" s="492">
        <f t="shared" si="12"/>
        <v>273.00000000000006</v>
      </c>
      <c r="I356" s="494">
        <f t="shared" si="12"/>
        <v>288.60000000000025</v>
      </c>
    </row>
    <row r="357" spans="7:9">
      <c r="G357" s="491">
        <f t="shared" si="11"/>
        <v>0.97777777777777675</v>
      </c>
      <c r="H357" s="492">
        <f t="shared" si="12"/>
        <v>273.77777777777783</v>
      </c>
      <c r="I357" s="494">
        <f t="shared" si="12"/>
        <v>289.42222222222244</v>
      </c>
    </row>
    <row r="358" spans="7:9">
      <c r="G358" s="491">
        <f t="shared" si="11"/>
        <v>0.98055555555555451</v>
      </c>
      <c r="H358" s="492">
        <f t="shared" si="12"/>
        <v>274.5555555555556</v>
      </c>
      <c r="I358" s="494">
        <f t="shared" si="12"/>
        <v>290.24444444444464</v>
      </c>
    </row>
    <row r="359" spans="7:9">
      <c r="G359" s="491">
        <f t="shared" si="11"/>
        <v>0.98333333333333228</v>
      </c>
      <c r="H359" s="492">
        <f t="shared" si="12"/>
        <v>275.33333333333337</v>
      </c>
      <c r="I359" s="494">
        <f t="shared" si="12"/>
        <v>291.06666666666683</v>
      </c>
    </row>
    <row r="360" spans="7:9">
      <c r="G360" s="491">
        <f t="shared" si="11"/>
        <v>0.98611111111111005</v>
      </c>
      <c r="H360" s="492">
        <f t="shared" si="12"/>
        <v>276.11111111111114</v>
      </c>
      <c r="I360" s="494">
        <f t="shared" si="12"/>
        <v>291.88888888888903</v>
      </c>
    </row>
    <row r="361" spans="7:9">
      <c r="G361" s="491">
        <f t="shared" si="11"/>
        <v>0.98888888888888782</v>
      </c>
      <c r="H361" s="492">
        <f t="shared" si="12"/>
        <v>276.88888888888891</v>
      </c>
      <c r="I361" s="494">
        <f t="shared" si="12"/>
        <v>292.71111111111122</v>
      </c>
    </row>
    <row r="362" spans="7:9">
      <c r="G362" s="491">
        <f t="shared" si="11"/>
        <v>0.99166666666666559</v>
      </c>
      <c r="H362" s="492">
        <f t="shared" si="12"/>
        <v>277.66666666666669</v>
      </c>
      <c r="I362" s="494">
        <f t="shared" si="12"/>
        <v>293.53333333333342</v>
      </c>
    </row>
    <row r="363" spans="7:9">
      <c r="G363" s="491">
        <f t="shared" si="11"/>
        <v>0.99444444444444335</v>
      </c>
      <c r="H363" s="492">
        <f t="shared" si="12"/>
        <v>278.44444444444446</v>
      </c>
      <c r="I363" s="494">
        <f t="shared" si="12"/>
        <v>294.35555555555561</v>
      </c>
    </row>
    <row r="364" spans="7:9">
      <c r="G364" s="491">
        <f t="shared" si="11"/>
        <v>0.99722222222222112</v>
      </c>
      <c r="H364" s="492">
        <f t="shared" si="12"/>
        <v>279.22222222222223</v>
      </c>
      <c r="I364" s="494">
        <f t="shared" si="12"/>
        <v>295.17777777777781</v>
      </c>
    </row>
    <row r="365" spans="7:9">
      <c r="G365" s="491">
        <f t="shared" si="11"/>
        <v>0.99999999999999889</v>
      </c>
      <c r="H365" s="489">
        <f>G2</f>
        <v>280</v>
      </c>
      <c r="I365" s="494">
        <f>G2+10+H2</f>
        <v>296</v>
      </c>
    </row>
  </sheetData>
  <mergeCells count="1">
    <mergeCell ref="A1:B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57"/>
  <sheetViews>
    <sheetView showGridLines="0" showRowColHeaders="0" topLeftCell="A103" workbookViewId="0">
      <selection activeCell="E113" sqref="E113"/>
    </sheetView>
  </sheetViews>
  <sheetFormatPr defaultRowHeight="12.75"/>
  <cols>
    <col min="1" max="16384" width="9.140625" style="693"/>
  </cols>
  <sheetData>
    <row r="1" spans="1:42" ht="12.75" customHeight="1" thickBot="1">
      <c r="A1" s="1004" t="s">
        <v>467</v>
      </c>
      <c r="B1" s="1004"/>
      <c r="C1" s="1004"/>
      <c r="D1" s="1004"/>
      <c r="E1" s="1004"/>
      <c r="F1" s="1012" t="s">
        <v>468</v>
      </c>
      <c r="G1" s="1012"/>
      <c r="H1" s="1012"/>
      <c r="I1" s="1012"/>
      <c r="J1" s="1012"/>
      <c r="K1" s="1012" t="s">
        <v>469</v>
      </c>
      <c r="L1" s="1012"/>
      <c r="M1" s="1012"/>
      <c r="N1" s="1012"/>
      <c r="O1" s="1012"/>
      <c r="P1" s="692"/>
      <c r="Q1" s="173"/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3"/>
      <c r="AL1" s="173"/>
      <c r="AM1" s="173"/>
      <c r="AN1" s="173"/>
      <c r="AO1" s="173"/>
      <c r="AP1" s="173"/>
    </row>
    <row r="2" spans="1:42" ht="13.5" customHeight="1" thickBot="1">
      <c r="A2" s="1004"/>
      <c r="B2" s="1004"/>
      <c r="C2" s="1004"/>
      <c r="D2" s="1004"/>
      <c r="E2" s="1004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692"/>
      <c r="Q2" s="173"/>
      <c r="R2" s="173"/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173"/>
      <c r="AI2" s="173"/>
      <c r="AJ2" s="173"/>
      <c r="AK2" s="173"/>
      <c r="AL2" s="173"/>
      <c r="AM2" s="173"/>
      <c r="AN2" s="173"/>
      <c r="AO2" s="173"/>
      <c r="AP2" s="173"/>
    </row>
    <row r="3" spans="1:42" ht="14.25" customHeight="1" thickBot="1">
      <c r="A3" s="1013" t="s">
        <v>261</v>
      </c>
      <c r="B3" s="1014"/>
      <c r="C3" s="694" t="s">
        <v>470</v>
      </c>
      <c r="D3" s="694" t="s">
        <v>471</v>
      </c>
      <c r="E3" s="694" t="s">
        <v>472</v>
      </c>
      <c r="F3" s="1013" t="s">
        <v>261</v>
      </c>
      <c r="G3" s="1014"/>
      <c r="H3" s="694" t="s">
        <v>470</v>
      </c>
      <c r="I3" s="694" t="s">
        <v>471</v>
      </c>
      <c r="J3" s="694" t="s">
        <v>472</v>
      </c>
      <c r="K3" s="1013" t="s">
        <v>261</v>
      </c>
      <c r="L3" s="1014"/>
      <c r="M3" s="694" t="s">
        <v>470</v>
      </c>
      <c r="N3" s="694" t="s">
        <v>471</v>
      </c>
      <c r="O3" s="694" t="s">
        <v>472</v>
      </c>
      <c r="P3" s="692"/>
      <c r="Q3" s="173"/>
      <c r="R3" s="173"/>
      <c r="S3" s="173"/>
      <c r="T3" s="173"/>
      <c r="U3" s="173"/>
      <c r="V3" s="173"/>
      <c r="W3" s="173"/>
      <c r="X3" s="173"/>
      <c r="Y3" s="173"/>
      <c r="Z3" s="173"/>
      <c r="AA3" s="173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</row>
    <row r="4" spans="1:42" ht="12.75" customHeight="1">
      <c r="A4" s="1001">
        <v>1</v>
      </c>
      <c r="B4" s="695" t="s">
        <v>473</v>
      </c>
      <c r="C4" s="696">
        <v>360</v>
      </c>
      <c r="D4" s="697">
        <v>0.3</v>
      </c>
      <c r="E4" s="698">
        <v>-0.4</v>
      </c>
      <c r="F4" s="1006">
        <v>1</v>
      </c>
      <c r="G4" s="695" t="s">
        <v>474</v>
      </c>
      <c r="H4" s="696">
        <v>416</v>
      </c>
      <c r="I4" s="697">
        <v>0.25</v>
      </c>
      <c r="J4" s="698">
        <v>-0.25</v>
      </c>
      <c r="K4" s="1006">
        <v>1</v>
      </c>
      <c r="L4" s="695" t="s">
        <v>475</v>
      </c>
      <c r="M4" s="696">
        <v>396</v>
      </c>
      <c r="N4" s="697">
        <v>-0.2</v>
      </c>
      <c r="O4" s="698">
        <v>0.2</v>
      </c>
      <c r="P4" s="692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699"/>
      <c r="AG4" s="699"/>
      <c r="AH4" s="699"/>
      <c r="AI4" s="173"/>
      <c r="AJ4" s="173"/>
      <c r="AK4" s="173"/>
      <c r="AL4" s="173"/>
      <c r="AM4" s="173"/>
      <c r="AN4" s="173"/>
      <c r="AO4" s="173"/>
      <c r="AP4" s="173"/>
    </row>
    <row r="5" spans="1:42" ht="12.75" customHeight="1">
      <c r="A5" s="1002"/>
      <c r="B5" s="700" t="s">
        <v>476</v>
      </c>
      <c r="C5" s="701">
        <v>361</v>
      </c>
      <c r="D5" s="702">
        <v>0.1</v>
      </c>
      <c r="E5" s="703">
        <v>-0.1</v>
      </c>
      <c r="F5" s="1007"/>
      <c r="G5" s="700" t="s">
        <v>477</v>
      </c>
      <c r="H5" s="701">
        <v>417</v>
      </c>
      <c r="I5" s="702">
        <v>-0.1</v>
      </c>
      <c r="J5" s="703">
        <v>0.1</v>
      </c>
      <c r="K5" s="1007"/>
      <c r="L5" s="700" t="s">
        <v>478</v>
      </c>
      <c r="M5" s="701">
        <v>406</v>
      </c>
      <c r="N5" s="702">
        <v>0</v>
      </c>
      <c r="O5" s="703">
        <v>-0.05</v>
      </c>
      <c r="P5" s="692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</row>
    <row r="6" spans="1:42" ht="12.75" customHeight="1" thickBot="1">
      <c r="A6" s="1003"/>
      <c r="B6" s="704" t="s">
        <v>479</v>
      </c>
      <c r="C6" s="705">
        <v>369</v>
      </c>
      <c r="D6" s="706">
        <v>0.1</v>
      </c>
      <c r="E6" s="707">
        <v>-0.1</v>
      </c>
      <c r="F6" s="1008"/>
      <c r="G6" s="708" t="s">
        <v>480</v>
      </c>
      <c r="H6" s="709">
        <v>425</v>
      </c>
      <c r="I6" s="710">
        <v>0.55000000000000004</v>
      </c>
      <c r="J6" s="711">
        <v>-0.55000000000000004</v>
      </c>
      <c r="K6" s="1007"/>
      <c r="L6" s="708" t="s">
        <v>481</v>
      </c>
      <c r="M6" s="709">
        <v>419</v>
      </c>
      <c r="N6" s="710">
        <v>0.25</v>
      </c>
      <c r="O6" s="711">
        <v>-0.25</v>
      </c>
      <c r="P6" s="692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73"/>
      <c r="AH6" s="173"/>
      <c r="AI6" s="173"/>
      <c r="AJ6" s="173"/>
      <c r="AK6" s="173"/>
      <c r="AL6" s="173"/>
      <c r="AM6" s="173"/>
      <c r="AN6" s="173"/>
      <c r="AO6" s="173"/>
      <c r="AP6" s="173"/>
    </row>
    <row r="7" spans="1:42" ht="12.75" customHeight="1">
      <c r="A7" s="1001">
        <v>2</v>
      </c>
      <c r="B7" s="695" t="s">
        <v>482</v>
      </c>
      <c r="C7" s="696">
        <v>230</v>
      </c>
      <c r="D7" s="697" t="s">
        <v>254</v>
      </c>
      <c r="E7" s="698" t="s">
        <v>254</v>
      </c>
      <c r="F7" s="1006">
        <v>2</v>
      </c>
      <c r="G7" s="695" t="s">
        <v>483</v>
      </c>
      <c r="H7" s="696">
        <v>224</v>
      </c>
      <c r="I7" s="697">
        <v>-0.4</v>
      </c>
      <c r="J7" s="698">
        <v>0.4</v>
      </c>
      <c r="K7" s="1006">
        <v>2</v>
      </c>
      <c r="L7" s="695" t="s">
        <v>484</v>
      </c>
      <c r="M7" s="696">
        <v>168</v>
      </c>
      <c r="N7" s="697" t="s">
        <v>254</v>
      </c>
      <c r="O7" s="698" t="s">
        <v>254</v>
      </c>
      <c r="P7" s="712"/>
      <c r="Q7" s="173"/>
      <c r="R7" s="173"/>
      <c r="S7" s="173"/>
      <c r="T7" s="173"/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3"/>
      <c r="AG7" s="173"/>
      <c r="AH7" s="173"/>
      <c r="AI7" s="173"/>
      <c r="AJ7" s="173"/>
      <c r="AK7" s="173"/>
      <c r="AL7" s="173"/>
      <c r="AM7" s="173"/>
      <c r="AN7" s="173"/>
      <c r="AO7" s="173"/>
      <c r="AP7" s="173"/>
    </row>
    <row r="8" spans="1:42" ht="12.75" customHeight="1">
      <c r="A8" s="1002"/>
      <c r="B8" s="700" t="s">
        <v>485</v>
      </c>
      <c r="C8" s="701">
        <v>234</v>
      </c>
      <c r="D8" s="702" t="s">
        <v>254</v>
      </c>
      <c r="E8" s="703" t="s">
        <v>254</v>
      </c>
      <c r="F8" s="1007"/>
      <c r="G8" s="700" t="s">
        <v>486</v>
      </c>
      <c r="H8" s="701">
        <v>228</v>
      </c>
      <c r="I8" s="702">
        <v>-0.6</v>
      </c>
      <c r="J8" s="703">
        <v>0.6</v>
      </c>
      <c r="K8" s="1007"/>
      <c r="L8" s="700" t="s">
        <v>487</v>
      </c>
      <c r="M8" s="701">
        <v>168</v>
      </c>
      <c r="N8" s="702" t="s">
        <v>254</v>
      </c>
      <c r="O8" s="703" t="s">
        <v>254</v>
      </c>
      <c r="P8" s="713"/>
      <c r="Q8" s="173"/>
      <c r="R8" s="173"/>
      <c r="S8" s="173"/>
      <c r="T8" s="173"/>
      <c r="U8" s="173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73"/>
      <c r="AG8" s="173"/>
      <c r="AH8" s="173"/>
      <c r="AI8" s="173"/>
      <c r="AJ8" s="173"/>
      <c r="AK8" s="173"/>
      <c r="AL8" s="173"/>
      <c r="AM8" s="173"/>
      <c r="AN8" s="173"/>
      <c r="AO8" s="173"/>
      <c r="AP8" s="173"/>
    </row>
    <row r="9" spans="1:42" ht="12.75" customHeight="1" thickBot="1">
      <c r="A9" s="1003"/>
      <c r="B9" s="704" t="s">
        <v>488</v>
      </c>
      <c r="C9" s="705">
        <v>256</v>
      </c>
      <c r="D9" s="706">
        <v>0.05</v>
      </c>
      <c r="E9" s="707">
        <v>-0.05</v>
      </c>
      <c r="F9" s="1008"/>
      <c r="G9" s="704" t="s">
        <v>489</v>
      </c>
      <c r="H9" s="705">
        <v>231</v>
      </c>
      <c r="I9" s="706">
        <v>-0.4</v>
      </c>
      <c r="J9" s="707">
        <v>0.4</v>
      </c>
      <c r="K9" s="1008"/>
      <c r="L9" s="704" t="s">
        <v>490</v>
      </c>
      <c r="M9" s="705">
        <v>181</v>
      </c>
      <c r="N9" s="706">
        <v>-0.25</v>
      </c>
      <c r="O9" s="707">
        <v>0.25</v>
      </c>
      <c r="P9" s="714"/>
      <c r="Q9" s="173"/>
      <c r="R9" s="173"/>
      <c r="S9" s="173"/>
      <c r="T9" s="173"/>
      <c r="U9" s="173"/>
      <c r="V9" s="173"/>
      <c r="W9" s="173"/>
      <c r="X9" s="173"/>
      <c r="Y9" s="173"/>
      <c r="Z9" s="173"/>
      <c r="AA9" s="173"/>
      <c r="AB9" s="173"/>
      <c r="AC9" s="173"/>
      <c r="AD9" s="173"/>
      <c r="AE9" s="173"/>
      <c r="AF9" s="173"/>
      <c r="AG9" s="173"/>
      <c r="AH9" s="173"/>
      <c r="AI9" s="173"/>
      <c r="AJ9" s="173"/>
      <c r="AK9" s="173"/>
      <c r="AL9" s="173"/>
      <c r="AM9" s="173"/>
      <c r="AN9" s="173"/>
      <c r="AO9" s="173"/>
      <c r="AP9" s="173"/>
    </row>
    <row r="10" spans="1:42" ht="12.75" customHeight="1">
      <c r="A10" s="1001">
        <v>3</v>
      </c>
      <c r="B10" s="695" t="s">
        <v>491</v>
      </c>
      <c r="C10" s="696">
        <v>493</v>
      </c>
      <c r="D10" s="697" t="s">
        <v>254</v>
      </c>
      <c r="E10" s="698" t="s">
        <v>254</v>
      </c>
      <c r="F10" s="1006">
        <v>3</v>
      </c>
      <c r="G10" s="715" t="s">
        <v>492</v>
      </c>
      <c r="H10" s="716">
        <v>368</v>
      </c>
      <c r="I10" s="717">
        <v>0</v>
      </c>
      <c r="J10" s="718">
        <v>0</v>
      </c>
      <c r="K10" s="1007">
        <v>3</v>
      </c>
      <c r="L10" s="715" t="s">
        <v>493</v>
      </c>
      <c r="M10" s="716">
        <v>398</v>
      </c>
      <c r="N10" s="717" t="s">
        <v>254</v>
      </c>
      <c r="O10" s="718" t="s">
        <v>254</v>
      </c>
      <c r="P10" s="714"/>
      <c r="Q10" s="173"/>
      <c r="R10" s="173"/>
      <c r="S10" s="173"/>
      <c r="T10" s="173"/>
      <c r="U10" s="173"/>
      <c r="V10" s="173"/>
      <c r="W10" s="173"/>
      <c r="X10" s="173"/>
      <c r="Y10" s="173"/>
      <c r="Z10" s="173"/>
      <c r="AA10" s="173"/>
      <c r="AB10" s="173"/>
      <c r="AC10" s="173"/>
      <c r="AD10" s="173"/>
      <c r="AE10" s="173"/>
      <c r="AF10" s="173"/>
      <c r="AG10" s="173"/>
      <c r="AH10" s="173"/>
      <c r="AI10" s="173"/>
      <c r="AJ10" s="173"/>
      <c r="AK10" s="173"/>
      <c r="AL10" s="173"/>
      <c r="AM10" s="173"/>
      <c r="AN10" s="173"/>
      <c r="AO10" s="173"/>
      <c r="AP10" s="173"/>
    </row>
    <row r="11" spans="1:42" ht="12.75" customHeight="1">
      <c r="A11" s="1002"/>
      <c r="B11" s="700" t="s">
        <v>494</v>
      </c>
      <c r="C11" s="701">
        <v>503</v>
      </c>
      <c r="D11" s="702">
        <v>-0.3</v>
      </c>
      <c r="E11" s="703">
        <v>0.3</v>
      </c>
      <c r="F11" s="1007"/>
      <c r="G11" s="700" t="s">
        <v>495</v>
      </c>
      <c r="H11" s="701">
        <v>372</v>
      </c>
      <c r="I11" s="702">
        <v>0.2</v>
      </c>
      <c r="J11" s="703">
        <v>-0.2</v>
      </c>
      <c r="K11" s="1007"/>
      <c r="L11" s="700" t="s">
        <v>496</v>
      </c>
      <c r="M11" s="701">
        <v>403</v>
      </c>
      <c r="N11" s="702">
        <v>-0.2</v>
      </c>
      <c r="O11" s="703">
        <v>0</v>
      </c>
      <c r="P11" s="714"/>
      <c r="Q11" s="173"/>
      <c r="R11" s="173"/>
      <c r="S11" s="173"/>
      <c r="T11" s="173"/>
      <c r="U11" s="173"/>
      <c r="V11" s="173"/>
      <c r="W11" s="173"/>
      <c r="X11" s="173"/>
      <c r="Y11" s="173"/>
      <c r="Z11" s="173"/>
      <c r="AA11" s="173"/>
      <c r="AB11" s="173"/>
      <c r="AC11" s="173"/>
      <c r="AD11" s="173"/>
      <c r="AE11" s="173"/>
      <c r="AF11" s="173"/>
      <c r="AG11" s="173"/>
      <c r="AH11" s="173"/>
      <c r="AI11" s="173"/>
      <c r="AJ11" s="173"/>
      <c r="AK11" s="173"/>
      <c r="AL11" s="173"/>
      <c r="AM11" s="173"/>
      <c r="AN11" s="173"/>
      <c r="AO11" s="173"/>
      <c r="AP11" s="173"/>
    </row>
    <row r="12" spans="1:42" ht="12.75" customHeight="1" thickBot="1">
      <c r="A12" s="1003"/>
      <c r="B12" s="704" t="s">
        <v>497</v>
      </c>
      <c r="C12" s="705">
        <v>514</v>
      </c>
      <c r="D12" s="706" t="s">
        <v>254</v>
      </c>
      <c r="E12" s="707">
        <v>0.1</v>
      </c>
      <c r="F12" s="1008"/>
      <c r="G12" s="708" t="s">
        <v>498</v>
      </c>
      <c r="H12" s="709">
        <v>381</v>
      </c>
      <c r="I12" s="710">
        <v>0</v>
      </c>
      <c r="J12" s="711">
        <v>0</v>
      </c>
      <c r="K12" s="1007"/>
      <c r="L12" s="708" t="s">
        <v>499</v>
      </c>
      <c r="M12" s="709">
        <v>410</v>
      </c>
      <c r="N12" s="710">
        <v>-0.15</v>
      </c>
      <c r="O12" s="711">
        <v>0.2</v>
      </c>
      <c r="P12" s="713"/>
      <c r="Q12" s="173"/>
      <c r="R12" s="173"/>
      <c r="S12" s="173"/>
      <c r="T12" s="173"/>
      <c r="U12" s="173"/>
      <c r="V12" s="173"/>
      <c r="W12" s="173"/>
      <c r="X12" s="173"/>
      <c r="Y12" s="173"/>
      <c r="Z12" s="173"/>
      <c r="AA12" s="173"/>
      <c r="AB12" s="173"/>
      <c r="AC12" s="173"/>
      <c r="AD12" s="173"/>
      <c r="AE12" s="173"/>
      <c r="AF12" s="173"/>
      <c r="AG12" s="173"/>
      <c r="AH12" s="173"/>
      <c r="AI12" s="173"/>
      <c r="AJ12" s="173"/>
      <c r="AK12" s="173"/>
      <c r="AL12" s="173"/>
      <c r="AM12" s="173"/>
      <c r="AN12" s="173"/>
      <c r="AO12" s="173"/>
      <c r="AP12" s="173"/>
    </row>
    <row r="13" spans="1:42" ht="12.75" customHeight="1">
      <c r="A13" s="1001">
        <v>4</v>
      </c>
      <c r="B13" s="695" t="s">
        <v>500</v>
      </c>
      <c r="C13" s="696">
        <v>403</v>
      </c>
      <c r="D13" s="697">
        <v>-0.2</v>
      </c>
      <c r="E13" s="698">
        <v>0.2</v>
      </c>
      <c r="F13" s="1006">
        <v>4</v>
      </c>
      <c r="G13" s="695" t="s">
        <v>501</v>
      </c>
      <c r="H13" s="696">
        <v>369</v>
      </c>
      <c r="I13" s="697">
        <v>-0.7</v>
      </c>
      <c r="J13" s="698">
        <v>0.75</v>
      </c>
      <c r="K13" s="1006">
        <v>4</v>
      </c>
      <c r="L13" s="695" t="s">
        <v>502</v>
      </c>
      <c r="M13" s="696">
        <v>470</v>
      </c>
      <c r="N13" s="697" t="s">
        <v>254</v>
      </c>
      <c r="O13" s="698" t="s">
        <v>254</v>
      </c>
      <c r="P13" s="719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3"/>
      <c r="AO13" s="173"/>
      <c r="AP13" s="173"/>
    </row>
    <row r="14" spans="1:42" ht="12.75" customHeight="1">
      <c r="A14" s="1002"/>
      <c r="B14" s="700" t="s">
        <v>503</v>
      </c>
      <c r="C14" s="701">
        <v>404</v>
      </c>
      <c r="D14" s="702">
        <v>0</v>
      </c>
      <c r="E14" s="703">
        <v>0</v>
      </c>
      <c r="F14" s="1007"/>
      <c r="G14" s="700" t="s">
        <v>504</v>
      </c>
      <c r="H14" s="701">
        <v>371</v>
      </c>
      <c r="I14" s="702">
        <v>-0.8</v>
      </c>
      <c r="J14" s="703">
        <v>0.6</v>
      </c>
      <c r="K14" s="1007"/>
      <c r="L14" s="700" t="s">
        <v>505</v>
      </c>
      <c r="M14" s="701">
        <v>473</v>
      </c>
      <c r="N14" s="702" t="s">
        <v>254</v>
      </c>
      <c r="O14" s="703">
        <v>0.3</v>
      </c>
      <c r="P14" s="719"/>
      <c r="Q14" s="173"/>
      <c r="R14" s="173"/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N14" s="173"/>
      <c r="AO14" s="173"/>
      <c r="AP14" s="173"/>
    </row>
    <row r="15" spans="1:42" ht="12.75" customHeight="1" thickBot="1">
      <c r="A15" s="1003"/>
      <c r="B15" s="704" t="s">
        <v>506</v>
      </c>
      <c r="C15" s="705">
        <v>411</v>
      </c>
      <c r="D15" s="706">
        <v>0</v>
      </c>
      <c r="E15" s="707">
        <v>0</v>
      </c>
      <c r="F15" s="1008"/>
      <c r="G15" s="704" t="s">
        <v>507</v>
      </c>
      <c r="H15" s="705">
        <v>375</v>
      </c>
      <c r="I15" s="706" t="s">
        <v>254</v>
      </c>
      <c r="J15" s="707" t="s">
        <v>254</v>
      </c>
      <c r="K15" s="1008"/>
      <c r="L15" s="704" t="s">
        <v>508</v>
      </c>
      <c r="M15" s="705">
        <v>481</v>
      </c>
      <c r="N15" s="706">
        <v>0.35</v>
      </c>
      <c r="O15" s="707">
        <v>-0.4</v>
      </c>
      <c r="P15" s="719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/>
      <c r="AC15" s="173"/>
      <c r="AD15" s="173"/>
      <c r="AE15" s="173"/>
      <c r="AF15" s="173"/>
      <c r="AG15" s="173"/>
      <c r="AH15" s="173"/>
      <c r="AI15" s="173"/>
      <c r="AJ15" s="173"/>
      <c r="AK15" s="173"/>
      <c r="AL15" s="173"/>
      <c r="AM15" s="173"/>
      <c r="AN15" s="173"/>
      <c r="AO15" s="173"/>
      <c r="AP15" s="173"/>
    </row>
    <row r="16" spans="1:42" ht="12.75" customHeight="1">
      <c r="A16" s="1001">
        <v>5</v>
      </c>
      <c r="B16" s="695" t="s">
        <v>509</v>
      </c>
      <c r="C16" s="696">
        <v>324</v>
      </c>
      <c r="D16" s="697">
        <v>-0.3</v>
      </c>
      <c r="E16" s="698">
        <v>0.15</v>
      </c>
      <c r="F16" s="1006">
        <v>5</v>
      </c>
      <c r="G16" s="715" t="s">
        <v>510</v>
      </c>
      <c r="H16" s="716">
        <v>486</v>
      </c>
      <c r="I16" s="717">
        <v>1.1000000000000001</v>
      </c>
      <c r="J16" s="718">
        <v>-1.05</v>
      </c>
      <c r="K16" s="1010">
        <v>5</v>
      </c>
      <c r="L16" s="715" t="s">
        <v>511</v>
      </c>
      <c r="M16" s="716">
        <v>414</v>
      </c>
      <c r="N16" s="717">
        <v>0.3</v>
      </c>
      <c r="O16" s="718">
        <v>-0.3</v>
      </c>
      <c r="P16" s="719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3"/>
      <c r="AM16" s="173"/>
      <c r="AN16" s="173"/>
      <c r="AO16" s="173"/>
      <c r="AP16" s="173"/>
    </row>
    <row r="17" spans="1:42" ht="12.75" customHeight="1">
      <c r="A17" s="1002"/>
      <c r="B17" s="700" t="s">
        <v>512</v>
      </c>
      <c r="C17" s="701">
        <v>333</v>
      </c>
      <c r="D17" s="702" t="s">
        <v>254</v>
      </c>
      <c r="E17" s="703">
        <v>0.3</v>
      </c>
      <c r="F17" s="1007"/>
      <c r="G17" s="700" t="s">
        <v>513</v>
      </c>
      <c r="H17" s="701">
        <v>493</v>
      </c>
      <c r="I17" s="702">
        <v>1.1000000000000001</v>
      </c>
      <c r="J17" s="703">
        <v>-1.05</v>
      </c>
      <c r="K17" s="1010"/>
      <c r="L17" s="700" t="s">
        <v>514</v>
      </c>
      <c r="M17" s="701">
        <v>422</v>
      </c>
      <c r="N17" s="702">
        <v>0</v>
      </c>
      <c r="O17" s="703">
        <v>-0.1</v>
      </c>
      <c r="P17" s="719"/>
      <c r="Q17" s="173"/>
      <c r="R17" s="173"/>
      <c r="S17" s="173"/>
      <c r="T17" s="173"/>
      <c r="U17" s="173"/>
      <c r="V17" s="173"/>
      <c r="W17" s="173"/>
      <c r="X17" s="173"/>
      <c r="Y17" s="173"/>
      <c r="Z17" s="173"/>
      <c r="AA17" s="173"/>
      <c r="AB17" s="173"/>
      <c r="AC17" s="173"/>
      <c r="AD17" s="173"/>
      <c r="AE17" s="173"/>
      <c r="AF17" s="173"/>
      <c r="AG17" s="173"/>
      <c r="AH17" s="173"/>
      <c r="AI17" s="173"/>
      <c r="AJ17" s="173"/>
      <c r="AK17" s="173"/>
      <c r="AL17" s="173"/>
      <c r="AM17" s="173"/>
      <c r="AN17" s="173"/>
      <c r="AO17" s="173"/>
      <c r="AP17" s="173"/>
    </row>
    <row r="18" spans="1:42" ht="12.75" customHeight="1" thickBot="1">
      <c r="A18" s="1003"/>
      <c r="B18" s="704" t="s">
        <v>515</v>
      </c>
      <c r="C18" s="705">
        <v>339</v>
      </c>
      <c r="D18" s="706">
        <v>-0.1</v>
      </c>
      <c r="E18" s="707">
        <v>0.1</v>
      </c>
      <c r="F18" s="1008"/>
      <c r="G18" s="704" t="s">
        <v>516</v>
      </c>
      <c r="H18" s="705">
        <v>507</v>
      </c>
      <c r="I18" s="706">
        <v>1.1000000000000001</v>
      </c>
      <c r="J18" s="707">
        <v>-0.85</v>
      </c>
      <c r="K18" s="1011"/>
      <c r="L18" s="704" t="s">
        <v>517</v>
      </c>
      <c r="M18" s="705">
        <v>427</v>
      </c>
      <c r="N18" s="706">
        <v>0.45</v>
      </c>
      <c r="O18" s="707">
        <v>-0.5</v>
      </c>
      <c r="P18" s="719"/>
      <c r="Q18" s="173"/>
      <c r="R18" s="173"/>
      <c r="S18" s="173"/>
      <c r="T18" s="173"/>
      <c r="U18" s="173"/>
      <c r="V18" s="173"/>
      <c r="W18" s="173"/>
      <c r="X18" s="173"/>
      <c r="Y18" s="173"/>
      <c r="Z18" s="173"/>
      <c r="AA18" s="173"/>
      <c r="AB18" s="173"/>
      <c r="AC18" s="173"/>
      <c r="AD18" s="173"/>
      <c r="AE18" s="173"/>
      <c r="AF18" s="173"/>
      <c r="AG18" s="173"/>
      <c r="AH18" s="173"/>
      <c r="AI18" s="173"/>
      <c r="AJ18" s="173"/>
      <c r="AK18" s="173"/>
      <c r="AL18" s="173"/>
      <c r="AM18" s="173"/>
      <c r="AN18" s="173"/>
      <c r="AO18" s="173"/>
      <c r="AP18" s="173"/>
    </row>
    <row r="19" spans="1:42" ht="12.75" customHeight="1">
      <c r="A19" s="1001">
        <v>6</v>
      </c>
      <c r="B19" s="715" t="s">
        <v>518</v>
      </c>
      <c r="C19" s="716">
        <v>554</v>
      </c>
      <c r="D19" s="717" t="s">
        <v>254</v>
      </c>
      <c r="E19" s="718" t="s">
        <v>254</v>
      </c>
      <c r="F19" s="1006">
        <v>6</v>
      </c>
      <c r="G19" s="715" t="s">
        <v>519</v>
      </c>
      <c r="H19" s="716">
        <v>215</v>
      </c>
      <c r="I19" s="717" t="s">
        <v>254</v>
      </c>
      <c r="J19" s="718" t="s">
        <v>254</v>
      </c>
      <c r="K19" s="1007">
        <v>6</v>
      </c>
      <c r="L19" s="715" t="s">
        <v>520</v>
      </c>
      <c r="M19" s="716">
        <v>497</v>
      </c>
      <c r="N19" s="717">
        <v>0</v>
      </c>
      <c r="O19" s="718">
        <v>0</v>
      </c>
      <c r="P19" s="692"/>
      <c r="Q19" s="173"/>
      <c r="R19" s="173"/>
      <c r="S19" s="173"/>
      <c r="T19" s="173"/>
      <c r="U19" s="173"/>
      <c r="V19" s="173"/>
      <c r="W19" s="173"/>
      <c r="X19" s="173"/>
      <c r="Y19" s="173"/>
      <c r="Z19" s="173"/>
      <c r="AA19" s="173"/>
      <c r="AB19" s="173"/>
      <c r="AC19" s="173"/>
      <c r="AD19" s="173"/>
      <c r="AE19" s="173"/>
      <c r="AF19" s="173"/>
      <c r="AG19" s="173"/>
      <c r="AH19" s="173"/>
      <c r="AI19" s="173"/>
      <c r="AJ19" s="173"/>
      <c r="AK19" s="173"/>
      <c r="AL19" s="173"/>
      <c r="AM19" s="173"/>
      <c r="AN19" s="173"/>
      <c r="AO19" s="173"/>
      <c r="AP19" s="173"/>
    </row>
    <row r="20" spans="1:42" ht="12.75" customHeight="1">
      <c r="A20" s="1002"/>
      <c r="B20" s="700" t="s">
        <v>521</v>
      </c>
      <c r="C20" s="701">
        <v>562</v>
      </c>
      <c r="D20" s="702" t="s">
        <v>254</v>
      </c>
      <c r="E20" s="703" t="s">
        <v>254</v>
      </c>
      <c r="F20" s="1007"/>
      <c r="G20" s="700" t="s">
        <v>522</v>
      </c>
      <c r="H20" s="701">
        <v>216</v>
      </c>
      <c r="I20" s="702" t="s">
        <v>254</v>
      </c>
      <c r="J20" s="703" t="s">
        <v>254</v>
      </c>
      <c r="K20" s="1007"/>
      <c r="L20" s="700" t="s">
        <v>523</v>
      </c>
      <c r="M20" s="701">
        <v>499</v>
      </c>
      <c r="N20" s="702">
        <v>0</v>
      </c>
      <c r="O20" s="703">
        <v>0</v>
      </c>
      <c r="P20" s="692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</row>
    <row r="21" spans="1:42" ht="12.75" customHeight="1" thickBot="1">
      <c r="A21" s="1003"/>
      <c r="B21" s="708" t="s">
        <v>524</v>
      </c>
      <c r="C21" s="709">
        <v>572</v>
      </c>
      <c r="D21" s="710" t="s">
        <v>254</v>
      </c>
      <c r="E21" s="711" t="s">
        <v>254</v>
      </c>
      <c r="F21" s="1007"/>
      <c r="G21" s="708" t="s">
        <v>525</v>
      </c>
      <c r="H21" s="709">
        <v>226</v>
      </c>
      <c r="I21" s="710">
        <v>0.43</v>
      </c>
      <c r="J21" s="711">
        <v>-0.43</v>
      </c>
      <c r="K21" s="1007"/>
      <c r="L21" s="708" t="s">
        <v>526</v>
      </c>
      <c r="M21" s="709">
        <v>503</v>
      </c>
      <c r="N21" s="710" t="s">
        <v>254</v>
      </c>
      <c r="O21" s="711" t="s">
        <v>254</v>
      </c>
      <c r="P21" s="692"/>
      <c r="Q21" s="173"/>
      <c r="R21" s="173"/>
      <c r="S21" s="173"/>
      <c r="T21" s="173"/>
      <c r="U21" s="173"/>
      <c r="V21" s="173"/>
      <c r="W21" s="173"/>
      <c r="X21" s="173"/>
      <c r="Y21" s="173"/>
      <c r="Z21" s="173"/>
      <c r="AA21" s="173"/>
      <c r="AB21" s="173"/>
      <c r="AC21" s="173"/>
      <c r="AD21" s="173"/>
      <c r="AE21" s="173"/>
      <c r="AF21" s="173"/>
      <c r="AG21" s="173"/>
      <c r="AH21" s="173"/>
      <c r="AI21" s="173"/>
      <c r="AJ21" s="173"/>
      <c r="AK21" s="173"/>
      <c r="AL21" s="173"/>
      <c r="AM21" s="173"/>
      <c r="AN21" s="173"/>
      <c r="AO21" s="173"/>
      <c r="AP21" s="173"/>
    </row>
    <row r="22" spans="1:42" ht="12.75" customHeight="1">
      <c r="A22" s="1001">
        <v>7</v>
      </c>
      <c r="B22" s="695" t="s">
        <v>527</v>
      </c>
      <c r="C22" s="696">
        <v>385</v>
      </c>
      <c r="D22" s="697">
        <v>0.25</v>
      </c>
      <c r="E22" s="698">
        <v>-0.2</v>
      </c>
      <c r="F22" s="1006">
        <v>7</v>
      </c>
      <c r="G22" s="695" t="s">
        <v>528</v>
      </c>
      <c r="H22" s="696">
        <v>485</v>
      </c>
      <c r="I22" s="697" t="s">
        <v>254</v>
      </c>
      <c r="J22" s="698" t="s">
        <v>254</v>
      </c>
      <c r="K22" s="1006">
        <v>7</v>
      </c>
      <c r="L22" s="695" t="s">
        <v>529</v>
      </c>
      <c r="M22" s="696">
        <v>420</v>
      </c>
      <c r="N22" s="697">
        <v>-0.3</v>
      </c>
      <c r="O22" s="698">
        <v>0.2</v>
      </c>
      <c r="P22" s="692"/>
      <c r="Q22" s="173"/>
      <c r="R22" s="173"/>
      <c r="S22" s="173"/>
      <c r="T22" s="173"/>
      <c r="U22" s="173"/>
      <c r="V22" s="173"/>
      <c r="W22" s="173"/>
      <c r="X22" s="173"/>
      <c r="Y22" s="173"/>
      <c r="Z22" s="173"/>
      <c r="AA22" s="173"/>
      <c r="AB22" s="173"/>
      <c r="AC22" s="173"/>
      <c r="AD22" s="173"/>
      <c r="AE22" s="173"/>
      <c r="AF22" s="173"/>
      <c r="AG22" s="173"/>
      <c r="AH22" s="173"/>
      <c r="AI22" s="173"/>
      <c r="AJ22" s="173"/>
      <c r="AK22" s="173"/>
      <c r="AL22" s="173"/>
      <c r="AM22" s="173"/>
      <c r="AN22" s="173"/>
      <c r="AO22" s="173"/>
      <c r="AP22" s="173"/>
    </row>
    <row r="23" spans="1:42" ht="12.75" customHeight="1">
      <c r="A23" s="1002"/>
      <c r="B23" s="700" t="s">
        <v>530</v>
      </c>
      <c r="C23" s="701">
        <v>390</v>
      </c>
      <c r="D23" s="702">
        <v>-0.3</v>
      </c>
      <c r="E23" s="703">
        <v>0.35</v>
      </c>
      <c r="F23" s="1007"/>
      <c r="G23" s="700" t="s">
        <v>531</v>
      </c>
      <c r="H23" s="701">
        <v>488</v>
      </c>
      <c r="I23" s="702" t="s">
        <v>254</v>
      </c>
      <c r="J23" s="703" t="s">
        <v>254</v>
      </c>
      <c r="K23" s="1007"/>
      <c r="L23" s="700" t="s">
        <v>532</v>
      </c>
      <c r="M23" s="701">
        <v>424</v>
      </c>
      <c r="N23" s="702">
        <v>0.15</v>
      </c>
      <c r="O23" s="703">
        <v>-0.15</v>
      </c>
      <c r="P23" s="692"/>
      <c r="Q23" s="173"/>
      <c r="R23" s="173"/>
      <c r="S23" s="173"/>
      <c r="T23" s="173"/>
      <c r="U23" s="173"/>
      <c r="V23" s="173"/>
      <c r="W23" s="173"/>
      <c r="X23" s="173"/>
      <c r="Y23" s="173"/>
      <c r="Z23" s="173"/>
      <c r="AA23" s="173"/>
      <c r="AB23" s="173"/>
      <c r="AC23" s="173"/>
      <c r="AD23" s="173"/>
      <c r="AE23" s="173"/>
      <c r="AF23" s="173"/>
      <c r="AG23" s="173"/>
      <c r="AH23" s="173"/>
      <c r="AI23" s="173"/>
      <c r="AJ23" s="173"/>
      <c r="AK23" s="173"/>
      <c r="AL23" s="173"/>
      <c r="AM23" s="173"/>
      <c r="AN23" s="173"/>
      <c r="AO23" s="173"/>
      <c r="AP23" s="173"/>
    </row>
    <row r="24" spans="1:42" ht="12.75" customHeight="1" thickBot="1">
      <c r="A24" s="1003"/>
      <c r="B24" s="704" t="s">
        <v>533</v>
      </c>
      <c r="C24" s="705">
        <v>397</v>
      </c>
      <c r="D24" s="706">
        <v>0.2</v>
      </c>
      <c r="E24" s="707">
        <v>0.1</v>
      </c>
      <c r="F24" s="1008"/>
      <c r="G24" s="704" t="s">
        <v>534</v>
      </c>
      <c r="H24" s="705">
        <v>490</v>
      </c>
      <c r="I24" s="706" t="s">
        <v>254</v>
      </c>
      <c r="J24" s="707" t="s">
        <v>254</v>
      </c>
      <c r="K24" s="1008"/>
      <c r="L24" s="704" t="s">
        <v>535</v>
      </c>
      <c r="M24" s="705">
        <v>441</v>
      </c>
      <c r="N24" s="706">
        <v>0.5</v>
      </c>
      <c r="O24" s="707">
        <v>-0.35</v>
      </c>
      <c r="P24" s="692"/>
      <c r="Q24" s="173"/>
      <c r="R24" s="173"/>
      <c r="S24" s="173"/>
      <c r="T24" s="173"/>
      <c r="U24" s="173"/>
      <c r="V24" s="173"/>
      <c r="W24" s="173"/>
      <c r="X24" s="173"/>
      <c r="Y24" s="173"/>
      <c r="Z24" s="173"/>
      <c r="AA24" s="173"/>
      <c r="AB24" s="173"/>
      <c r="AC24" s="173"/>
      <c r="AD24" s="173"/>
      <c r="AE24" s="173"/>
      <c r="AF24" s="173"/>
      <c r="AG24" s="173"/>
      <c r="AH24" s="173"/>
      <c r="AI24" s="173"/>
      <c r="AJ24" s="173"/>
      <c r="AK24" s="173"/>
      <c r="AL24" s="173"/>
      <c r="AM24" s="173"/>
      <c r="AN24" s="173"/>
      <c r="AO24" s="173"/>
      <c r="AP24" s="173"/>
    </row>
    <row r="25" spans="1:42" ht="12.75" customHeight="1">
      <c r="A25" s="1001">
        <v>8</v>
      </c>
      <c r="B25" s="715" t="s">
        <v>536</v>
      </c>
      <c r="C25" s="716">
        <v>302</v>
      </c>
      <c r="D25" s="717" t="s">
        <v>254</v>
      </c>
      <c r="E25" s="718" t="s">
        <v>254</v>
      </c>
      <c r="F25" s="1007">
        <v>8</v>
      </c>
      <c r="G25" s="715" t="s">
        <v>537</v>
      </c>
      <c r="H25" s="716">
        <v>416</v>
      </c>
      <c r="I25" s="717" t="s">
        <v>254</v>
      </c>
      <c r="J25" s="718" t="s">
        <v>254</v>
      </c>
      <c r="K25" s="1007">
        <v>8</v>
      </c>
      <c r="L25" s="715" t="s">
        <v>538</v>
      </c>
      <c r="M25" s="716">
        <v>398</v>
      </c>
      <c r="N25" s="717" t="s">
        <v>254</v>
      </c>
      <c r="O25" s="718" t="s">
        <v>254</v>
      </c>
      <c r="P25" s="692"/>
      <c r="Q25" s="173"/>
      <c r="R25" s="173"/>
      <c r="S25" s="173"/>
      <c r="T25" s="173"/>
      <c r="U25" s="173"/>
      <c r="V25" s="173"/>
      <c r="W25" s="173"/>
      <c r="X25" s="173"/>
      <c r="Y25" s="173"/>
      <c r="Z25" s="173"/>
      <c r="AA25" s="173"/>
      <c r="AB25" s="173"/>
      <c r="AC25" s="173"/>
      <c r="AD25" s="173"/>
      <c r="AE25" s="173"/>
      <c r="AF25" s="173"/>
      <c r="AG25" s="173"/>
      <c r="AH25" s="173"/>
      <c r="AI25" s="173"/>
      <c r="AJ25" s="173"/>
      <c r="AK25" s="173"/>
      <c r="AL25" s="173"/>
      <c r="AM25" s="173"/>
      <c r="AN25" s="173"/>
      <c r="AO25" s="173"/>
      <c r="AP25" s="173"/>
    </row>
    <row r="26" spans="1:42" ht="12.75" customHeight="1">
      <c r="A26" s="1002"/>
      <c r="B26" s="700" t="s">
        <v>539</v>
      </c>
      <c r="C26" s="701">
        <v>307</v>
      </c>
      <c r="D26" s="702" t="s">
        <v>254</v>
      </c>
      <c r="E26" s="703" t="s">
        <v>254</v>
      </c>
      <c r="F26" s="1007"/>
      <c r="G26" s="700" t="s">
        <v>540</v>
      </c>
      <c r="H26" s="701">
        <v>426</v>
      </c>
      <c r="I26" s="702">
        <v>0.1</v>
      </c>
      <c r="J26" s="703">
        <v>-0.05</v>
      </c>
      <c r="K26" s="1007"/>
      <c r="L26" s="700" t="s">
        <v>541</v>
      </c>
      <c r="M26" s="701">
        <v>403</v>
      </c>
      <c r="N26" s="702" t="s">
        <v>254</v>
      </c>
      <c r="O26" s="703" t="s">
        <v>254</v>
      </c>
      <c r="P26" s="692"/>
      <c r="Q26" s="173"/>
      <c r="R26" s="173"/>
      <c r="S26" s="173"/>
      <c r="T26" s="173"/>
      <c r="U26" s="173"/>
      <c r="V26" s="173"/>
      <c r="W26" s="173"/>
      <c r="X26" s="173"/>
      <c r="Y26" s="173"/>
      <c r="Z26" s="173"/>
      <c r="AA26" s="173"/>
      <c r="AB26" s="173"/>
      <c r="AC26" s="173"/>
      <c r="AD26" s="173"/>
      <c r="AE26" s="173"/>
      <c r="AF26" s="173"/>
      <c r="AG26" s="173"/>
      <c r="AH26" s="173"/>
      <c r="AI26" s="173"/>
      <c r="AJ26" s="173"/>
      <c r="AK26" s="173"/>
      <c r="AL26" s="173"/>
      <c r="AM26" s="173"/>
      <c r="AN26" s="173"/>
      <c r="AO26" s="173"/>
      <c r="AP26" s="173"/>
    </row>
    <row r="27" spans="1:42" ht="12.75" customHeight="1" thickBot="1">
      <c r="A27" s="1003"/>
      <c r="B27" s="708" t="s">
        <v>542</v>
      </c>
      <c r="C27" s="709">
        <v>314</v>
      </c>
      <c r="D27" s="710" t="s">
        <v>254</v>
      </c>
      <c r="E27" s="711" t="s">
        <v>254</v>
      </c>
      <c r="F27" s="1007"/>
      <c r="G27" s="708" t="s">
        <v>543</v>
      </c>
      <c r="H27" s="709">
        <v>430</v>
      </c>
      <c r="I27" s="710">
        <v>0.2</v>
      </c>
      <c r="J27" s="711">
        <v>-0.25</v>
      </c>
      <c r="K27" s="1007"/>
      <c r="L27" s="708" t="s">
        <v>544</v>
      </c>
      <c r="M27" s="709">
        <v>415</v>
      </c>
      <c r="N27" s="710">
        <v>0.3</v>
      </c>
      <c r="O27" s="711">
        <v>-0.3</v>
      </c>
      <c r="P27" s="692"/>
      <c r="Q27" s="173"/>
      <c r="R27" s="173"/>
      <c r="S27" s="173"/>
      <c r="T27" s="173"/>
      <c r="U27" s="173"/>
      <c r="V27" s="173"/>
      <c r="W27" s="173"/>
      <c r="X27" s="173"/>
      <c r="Y27" s="173"/>
      <c r="Z27" s="173"/>
      <c r="AA27" s="173"/>
      <c r="AB27" s="173"/>
      <c r="AC27" s="173"/>
      <c r="AD27" s="173"/>
      <c r="AE27" s="173"/>
      <c r="AF27" s="173"/>
      <c r="AG27" s="173"/>
      <c r="AH27" s="173"/>
      <c r="AI27" s="173"/>
      <c r="AJ27" s="173"/>
      <c r="AK27" s="173"/>
      <c r="AL27" s="173"/>
      <c r="AM27" s="173"/>
      <c r="AN27" s="173"/>
      <c r="AO27" s="173"/>
      <c r="AP27" s="173"/>
    </row>
    <row r="28" spans="1:42" ht="12.75" customHeight="1">
      <c r="A28" s="1001">
        <v>9</v>
      </c>
      <c r="B28" s="695" t="s">
        <v>545</v>
      </c>
      <c r="C28" s="696">
        <v>388</v>
      </c>
      <c r="D28" s="697">
        <v>0.4</v>
      </c>
      <c r="E28" s="698">
        <v>-0.4</v>
      </c>
      <c r="F28" s="1006">
        <v>9</v>
      </c>
      <c r="G28" s="695" t="s">
        <v>546</v>
      </c>
      <c r="H28" s="696">
        <v>383</v>
      </c>
      <c r="I28" s="697">
        <v>0.1</v>
      </c>
      <c r="J28" s="698">
        <v>-0.15</v>
      </c>
      <c r="K28" s="1006">
        <v>9</v>
      </c>
      <c r="L28" s="695" t="s">
        <v>547</v>
      </c>
      <c r="M28" s="696">
        <v>231</v>
      </c>
      <c r="N28" s="697">
        <v>0.7</v>
      </c>
      <c r="O28" s="698">
        <v>-0.6</v>
      </c>
      <c r="P28" s="692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73"/>
      <c r="AL28" s="173"/>
      <c r="AM28" s="173"/>
      <c r="AN28" s="173"/>
      <c r="AO28" s="173"/>
      <c r="AP28" s="173"/>
    </row>
    <row r="29" spans="1:42" ht="12.75" customHeight="1">
      <c r="A29" s="1002"/>
      <c r="B29" s="700" t="s">
        <v>548</v>
      </c>
      <c r="C29" s="701">
        <v>398</v>
      </c>
      <c r="D29" s="702">
        <v>0.3</v>
      </c>
      <c r="E29" s="703">
        <v>-0.3</v>
      </c>
      <c r="F29" s="1007"/>
      <c r="G29" s="700" t="s">
        <v>549</v>
      </c>
      <c r="H29" s="701">
        <v>383</v>
      </c>
      <c r="I29" s="702">
        <v>-0.2</v>
      </c>
      <c r="J29" s="703">
        <v>0.2</v>
      </c>
      <c r="K29" s="1007"/>
      <c r="L29" s="700" t="s">
        <v>550</v>
      </c>
      <c r="M29" s="701">
        <v>237</v>
      </c>
      <c r="N29" s="702">
        <v>0.55000000000000004</v>
      </c>
      <c r="O29" s="703">
        <v>-0.6</v>
      </c>
      <c r="P29" s="692"/>
      <c r="Q29" s="173"/>
      <c r="R29" s="173"/>
      <c r="S29" s="173"/>
      <c r="T29" s="173"/>
      <c r="U29" s="173"/>
      <c r="V29" s="173"/>
      <c r="W29" s="173"/>
      <c r="X29" s="173"/>
      <c r="Y29" s="173"/>
      <c r="Z29" s="173"/>
      <c r="AA29" s="173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3"/>
      <c r="AM29" s="173"/>
      <c r="AN29" s="173"/>
      <c r="AO29" s="173"/>
      <c r="AP29" s="173"/>
    </row>
    <row r="30" spans="1:42" ht="12.75" customHeight="1" thickBot="1">
      <c r="A30" s="1003"/>
      <c r="B30" s="704" t="s">
        <v>551</v>
      </c>
      <c r="C30" s="705">
        <v>403</v>
      </c>
      <c r="D30" s="706">
        <v>0.4</v>
      </c>
      <c r="E30" s="707">
        <v>-0.4</v>
      </c>
      <c r="F30" s="1008"/>
      <c r="G30" s="704" t="s">
        <v>552</v>
      </c>
      <c r="H30" s="705">
        <v>388</v>
      </c>
      <c r="I30" s="706">
        <v>0.2</v>
      </c>
      <c r="J30" s="707">
        <v>-0.25</v>
      </c>
      <c r="K30" s="1008"/>
      <c r="L30" s="704" t="s">
        <v>553</v>
      </c>
      <c r="M30" s="705">
        <v>237</v>
      </c>
      <c r="N30" s="706">
        <v>0.55000000000000004</v>
      </c>
      <c r="O30" s="707">
        <v>-0.6</v>
      </c>
      <c r="P30" s="692"/>
      <c r="Q30" s="173"/>
      <c r="R30" s="173"/>
      <c r="S30" s="173"/>
      <c r="T30" s="173"/>
      <c r="U30" s="173"/>
      <c r="V30" s="173"/>
      <c r="W30" s="173"/>
      <c r="X30" s="173"/>
      <c r="Y30" s="173"/>
      <c r="Z30" s="173"/>
      <c r="AA30" s="173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  <c r="AL30" s="173"/>
      <c r="AM30" s="173"/>
      <c r="AN30" s="173"/>
      <c r="AO30" s="173"/>
      <c r="AP30" s="173"/>
    </row>
    <row r="31" spans="1:42" ht="12.75" customHeight="1">
      <c r="A31" s="1001">
        <v>10</v>
      </c>
      <c r="B31" s="715" t="s">
        <v>554</v>
      </c>
      <c r="C31" s="716">
        <v>230</v>
      </c>
      <c r="D31" s="717" t="s">
        <v>254</v>
      </c>
      <c r="E31" s="718" t="s">
        <v>254</v>
      </c>
      <c r="F31" s="1007">
        <v>10</v>
      </c>
      <c r="G31" s="715" t="s">
        <v>555</v>
      </c>
      <c r="H31" s="716">
        <v>283</v>
      </c>
      <c r="I31" s="717" t="s">
        <v>254</v>
      </c>
      <c r="J31" s="718" t="s">
        <v>254</v>
      </c>
      <c r="K31" s="1007">
        <v>10</v>
      </c>
      <c r="L31" s="715" t="s">
        <v>556</v>
      </c>
      <c r="M31" s="716">
        <v>482</v>
      </c>
      <c r="N31" s="717">
        <v>0</v>
      </c>
      <c r="O31" s="718">
        <v>0</v>
      </c>
      <c r="P31" s="692"/>
      <c r="Q31" s="173"/>
      <c r="R31" s="173"/>
      <c r="S31" s="173"/>
      <c r="T31" s="173"/>
      <c r="U31" s="173"/>
      <c r="V31" s="173"/>
      <c r="W31" s="173"/>
      <c r="X31" s="173"/>
      <c r="Y31" s="173"/>
      <c r="Z31" s="173"/>
      <c r="AA31" s="173"/>
      <c r="AB31" s="173"/>
      <c r="AC31" s="173"/>
      <c r="AD31" s="173"/>
      <c r="AE31" s="173"/>
      <c r="AF31" s="173"/>
      <c r="AG31" s="173"/>
      <c r="AH31" s="173"/>
      <c r="AI31" s="173"/>
      <c r="AJ31" s="173"/>
      <c r="AK31" s="173"/>
      <c r="AL31" s="173"/>
      <c r="AM31" s="173"/>
      <c r="AN31" s="173"/>
      <c r="AO31" s="173"/>
      <c r="AP31" s="173"/>
    </row>
    <row r="32" spans="1:42" ht="12.75" customHeight="1">
      <c r="A32" s="1002"/>
      <c r="B32" s="700" t="s">
        <v>557</v>
      </c>
      <c r="C32" s="701">
        <v>239</v>
      </c>
      <c r="D32" s="702">
        <v>0.4</v>
      </c>
      <c r="E32" s="703" t="s">
        <v>254</v>
      </c>
      <c r="F32" s="1007"/>
      <c r="G32" s="700" t="s">
        <v>558</v>
      </c>
      <c r="H32" s="701">
        <v>289</v>
      </c>
      <c r="I32" s="702" t="s">
        <v>254</v>
      </c>
      <c r="J32" s="703" t="s">
        <v>254</v>
      </c>
      <c r="K32" s="1007"/>
      <c r="L32" s="700" t="s">
        <v>559</v>
      </c>
      <c r="M32" s="701">
        <v>488</v>
      </c>
      <c r="N32" s="702" t="s">
        <v>254</v>
      </c>
      <c r="O32" s="703" t="s">
        <v>254</v>
      </c>
      <c r="P32" s="692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</row>
    <row r="33" spans="1:42" ht="12.75" customHeight="1" thickBot="1">
      <c r="A33" s="1003"/>
      <c r="B33" s="708" t="s">
        <v>560</v>
      </c>
      <c r="C33" s="709">
        <v>247</v>
      </c>
      <c r="D33" s="710">
        <v>0.25</v>
      </c>
      <c r="E33" s="711">
        <v>-0.25</v>
      </c>
      <c r="F33" s="1007"/>
      <c r="G33" s="708" t="s">
        <v>561</v>
      </c>
      <c r="H33" s="709">
        <v>291</v>
      </c>
      <c r="I33" s="710" t="s">
        <v>254</v>
      </c>
      <c r="J33" s="711" t="s">
        <v>254</v>
      </c>
      <c r="K33" s="1007"/>
      <c r="L33" s="708" t="s">
        <v>562</v>
      </c>
      <c r="M33" s="709">
        <v>494</v>
      </c>
      <c r="N33" s="710">
        <v>0.5</v>
      </c>
      <c r="O33" s="711" t="s">
        <v>254</v>
      </c>
      <c r="P33" s="692"/>
      <c r="Q33" s="173"/>
      <c r="R33" s="173"/>
      <c r="S33" s="173"/>
      <c r="T33" s="173"/>
      <c r="U33" s="173"/>
      <c r="V33" s="173"/>
      <c r="W33" s="173"/>
      <c r="X33" s="173"/>
      <c r="Y33" s="173"/>
      <c r="Z33" s="173"/>
      <c r="AA33" s="173"/>
      <c r="AB33" s="17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</row>
    <row r="34" spans="1:42" ht="12.75" customHeight="1">
      <c r="A34" s="1001">
        <v>11</v>
      </c>
      <c r="B34" s="695" t="s">
        <v>563</v>
      </c>
      <c r="C34" s="696">
        <v>349</v>
      </c>
      <c r="D34" s="697" t="s">
        <v>254</v>
      </c>
      <c r="E34" s="698" t="s">
        <v>254</v>
      </c>
      <c r="F34" s="1006">
        <v>11</v>
      </c>
      <c r="G34" s="695" t="s">
        <v>564</v>
      </c>
      <c r="H34" s="696">
        <v>356</v>
      </c>
      <c r="I34" s="697">
        <v>0.1</v>
      </c>
      <c r="J34" s="698">
        <v>-0.15</v>
      </c>
      <c r="K34" s="1006">
        <v>11</v>
      </c>
      <c r="L34" s="695" t="s">
        <v>565</v>
      </c>
      <c r="M34" s="696">
        <v>383</v>
      </c>
      <c r="N34" s="697" t="s">
        <v>254</v>
      </c>
      <c r="O34" s="698">
        <v>0.3</v>
      </c>
      <c r="P34" s="692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</row>
    <row r="35" spans="1:42" ht="12.75" customHeight="1">
      <c r="A35" s="1002"/>
      <c r="B35" s="700" t="s">
        <v>566</v>
      </c>
      <c r="C35" s="701">
        <v>356</v>
      </c>
      <c r="D35" s="702">
        <v>0</v>
      </c>
      <c r="E35" s="703">
        <v>0</v>
      </c>
      <c r="F35" s="1007"/>
      <c r="G35" s="700" t="s">
        <v>567</v>
      </c>
      <c r="H35" s="701">
        <v>357</v>
      </c>
      <c r="I35" s="702">
        <v>-0.1</v>
      </c>
      <c r="J35" s="703">
        <v>0.15</v>
      </c>
      <c r="K35" s="1007"/>
      <c r="L35" s="700" t="s">
        <v>568</v>
      </c>
      <c r="M35" s="701">
        <v>392</v>
      </c>
      <c r="N35" s="702">
        <v>0.3</v>
      </c>
      <c r="O35" s="703">
        <v>-0.3</v>
      </c>
      <c r="P35" s="692"/>
      <c r="Q35" s="173"/>
      <c r="R35" s="173"/>
      <c r="S35" s="173"/>
      <c r="T35" s="173"/>
      <c r="U35" s="173"/>
      <c r="V35" s="173"/>
      <c r="W35" s="173"/>
      <c r="X35" s="173"/>
      <c r="Y35" s="173"/>
      <c r="Z35" s="173"/>
      <c r="AA35" s="173"/>
      <c r="AB35" s="173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</row>
    <row r="36" spans="1:42" ht="12.75" customHeight="1" thickBot="1">
      <c r="A36" s="1003"/>
      <c r="B36" s="704" t="s">
        <v>569</v>
      </c>
      <c r="C36" s="705">
        <v>363</v>
      </c>
      <c r="D36" s="706">
        <v>0</v>
      </c>
      <c r="E36" s="707">
        <v>0</v>
      </c>
      <c r="F36" s="1008"/>
      <c r="G36" s="704" t="s">
        <v>570</v>
      </c>
      <c r="H36" s="705">
        <v>364</v>
      </c>
      <c r="I36" s="706" t="s">
        <v>254</v>
      </c>
      <c r="J36" s="707" t="s">
        <v>254</v>
      </c>
      <c r="K36" s="1008"/>
      <c r="L36" s="704" t="s">
        <v>571</v>
      </c>
      <c r="M36" s="705">
        <v>396</v>
      </c>
      <c r="N36" s="706">
        <v>-0.05</v>
      </c>
      <c r="O36" s="707">
        <v>0.1</v>
      </c>
      <c r="P36" s="692"/>
      <c r="Q36" s="173"/>
      <c r="R36" s="173"/>
      <c r="S36" s="173"/>
      <c r="T36" s="173"/>
      <c r="U36" s="173"/>
      <c r="V36" s="173"/>
      <c r="W36" s="173"/>
      <c r="X36" s="173"/>
      <c r="Y36" s="173"/>
      <c r="Z36" s="173"/>
      <c r="AA36" s="173"/>
      <c r="AB36" s="173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</row>
    <row r="37" spans="1:42" ht="12.75" customHeight="1">
      <c r="A37" s="1001">
        <v>12</v>
      </c>
      <c r="B37" s="715" t="s">
        <v>572</v>
      </c>
      <c r="C37" s="716">
        <v>487</v>
      </c>
      <c r="D37" s="717">
        <v>0</v>
      </c>
      <c r="E37" s="718">
        <v>0</v>
      </c>
      <c r="F37" s="1007">
        <v>12</v>
      </c>
      <c r="G37" s="715" t="s">
        <v>573</v>
      </c>
      <c r="H37" s="716">
        <v>543</v>
      </c>
      <c r="I37" s="717">
        <v>0.4</v>
      </c>
      <c r="J37" s="718">
        <v>-0.4</v>
      </c>
      <c r="K37" s="1007">
        <v>12</v>
      </c>
      <c r="L37" s="715" t="s">
        <v>574</v>
      </c>
      <c r="M37" s="716">
        <v>191</v>
      </c>
      <c r="N37" s="717">
        <v>-0.2</v>
      </c>
      <c r="O37" s="718">
        <v>0.1</v>
      </c>
      <c r="P37" s="692"/>
      <c r="Q37" s="173"/>
      <c r="R37" s="173"/>
      <c r="S37" s="173"/>
      <c r="T37" s="173"/>
      <c r="U37" s="173"/>
      <c r="V37" s="173"/>
      <c r="W37" s="173"/>
      <c r="X37" s="173"/>
      <c r="Y37" s="173"/>
      <c r="Z37" s="173"/>
      <c r="AA37" s="173"/>
      <c r="AB37" s="173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</row>
    <row r="38" spans="1:42" ht="12.75" customHeight="1">
      <c r="A38" s="1002"/>
      <c r="B38" s="700" t="s">
        <v>575</v>
      </c>
      <c r="C38" s="701">
        <v>494</v>
      </c>
      <c r="D38" s="702" t="s">
        <v>254</v>
      </c>
      <c r="E38" s="703" t="s">
        <v>254</v>
      </c>
      <c r="F38" s="1007"/>
      <c r="G38" s="700" t="s">
        <v>576</v>
      </c>
      <c r="H38" s="701">
        <v>544</v>
      </c>
      <c r="I38" s="702">
        <v>0.4</v>
      </c>
      <c r="J38" s="703">
        <v>-0.4</v>
      </c>
      <c r="K38" s="1007"/>
      <c r="L38" s="700" t="s">
        <v>577</v>
      </c>
      <c r="M38" s="701">
        <v>198</v>
      </c>
      <c r="N38" s="702">
        <v>-0.35</v>
      </c>
      <c r="O38" s="703">
        <v>0.15</v>
      </c>
      <c r="P38" s="692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</row>
    <row r="39" spans="1:42" ht="12.75" customHeight="1" thickBot="1">
      <c r="A39" s="1003"/>
      <c r="B39" s="708" t="s">
        <v>578</v>
      </c>
      <c r="C39" s="709">
        <v>495</v>
      </c>
      <c r="D39" s="710" t="s">
        <v>254</v>
      </c>
      <c r="E39" s="711" t="s">
        <v>254</v>
      </c>
      <c r="F39" s="1007"/>
      <c r="G39" s="708" t="s">
        <v>579</v>
      </c>
      <c r="H39" s="709">
        <v>554</v>
      </c>
      <c r="I39" s="710">
        <v>0.5</v>
      </c>
      <c r="J39" s="711">
        <v>-0.55000000000000004</v>
      </c>
      <c r="K39" s="1007"/>
      <c r="L39" s="708" t="s">
        <v>580</v>
      </c>
      <c r="M39" s="709">
        <v>201</v>
      </c>
      <c r="N39" s="710">
        <v>-0.1</v>
      </c>
      <c r="O39" s="711">
        <v>0.1</v>
      </c>
      <c r="P39" s="692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</row>
    <row r="40" spans="1:42" ht="12.75" customHeight="1">
      <c r="A40" s="1001">
        <v>13</v>
      </c>
      <c r="B40" s="695" t="s">
        <v>581</v>
      </c>
      <c r="C40" s="696">
        <v>287</v>
      </c>
      <c r="D40" s="697" t="s">
        <v>254</v>
      </c>
      <c r="E40" s="698" t="s">
        <v>254</v>
      </c>
      <c r="F40" s="1006">
        <v>13</v>
      </c>
      <c r="G40" s="695" t="s">
        <v>582</v>
      </c>
      <c r="H40" s="696">
        <v>428</v>
      </c>
      <c r="I40" s="697">
        <v>-0.1</v>
      </c>
      <c r="J40" s="698">
        <v>0.05</v>
      </c>
      <c r="K40" s="1006">
        <v>13</v>
      </c>
      <c r="L40" s="695" t="s">
        <v>583</v>
      </c>
      <c r="M40" s="696">
        <v>387</v>
      </c>
      <c r="N40" s="697">
        <v>0.15</v>
      </c>
      <c r="O40" s="698">
        <v>-0.15</v>
      </c>
      <c r="P40" s="692"/>
      <c r="Q40" s="173"/>
      <c r="R40" s="173"/>
      <c r="S40" s="173"/>
      <c r="T40" s="173"/>
      <c r="U40" s="173"/>
      <c r="V40" s="173"/>
      <c r="W40" s="173"/>
      <c r="X40" s="173"/>
      <c r="Y40" s="173"/>
      <c r="Z40" s="173"/>
      <c r="AA40" s="173"/>
      <c r="AB40" s="173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</row>
    <row r="41" spans="1:42" ht="12.75" customHeight="1">
      <c r="A41" s="1002"/>
      <c r="B41" s="700" t="s">
        <v>584</v>
      </c>
      <c r="C41" s="701">
        <v>293</v>
      </c>
      <c r="D41" s="702" t="s">
        <v>254</v>
      </c>
      <c r="E41" s="703" t="s">
        <v>254</v>
      </c>
      <c r="F41" s="1007"/>
      <c r="G41" s="700" t="s">
        <v>585</v>
      </c>
      <c r="H41" s="701">
        <v>442</v>
      </c>
      <c r="I41" s="702">
        <v>0</v>
      </c>
      <c r="J41" s="703">
        <v>0</v>
      </c>
      <c r="K41" s="1007"/>
      <c r="L41" s="700" t="s">
        <v>586</v>
      </c>
      <c r="M41" s="701">
        <v>387</v>
      </c>
      <c r="N41" s="702">
        <v>0.2</v>
      </c>
      <c r="O41" s="703">
        <v>-0.2</v>
      </c>
      <c r="P41" s="692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</row>
    <row r="42" spans="1:42" ht="12.75" customHeight="1" thickBot="1">
      <c r="A42" s="1003"/>
      <c r="B42" s="704" t="s">
        <v>587</v>
      </c>
      <c r="C42" s="705">
        <v>300</v>
      </c>
      <c r="D42" s="706" t="s">
        <v>254</v>
      </c>
      <c r="E42" s="707" t="s">
        <v>254</v>
      </c>
      <c r="F42" s="1008"/>
      <c r="G42" s="704" t="s">
        <v>588</v>
      </c>
      <c r="H42" s="705">
        <v>443</v>
      </c>
      <c r="I42" s="706" t="s">
        <v>254</v>
      </c>
      <c r="J42" s="707" t="s">
        <v>254</v>
      </c>
      <c r="K42" s="1008"/>
      <c r="L42" s="704" t="s">
        <v>589</v>
      </c>
      <c r="M42" s="705">
        <v>393</v>
      </c>
      <c r="N42" s="706">
        <v>0.25</v>
      </c>
      <c r="O42" s="707">
        <v>-0.05</v>
      </c>
      <c r="P42" s="692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</row>
    <row r="43" spans="1:42" ht="12.75" customHeight="1">
      <c r="A43" s="1001">
        <v>14</v>
      </c>
      <c r="B43" s="715" t="s">
        <v>590</v>
      </c>
      <c r="C43" s="716">
        <v>206</v>
      </c>
      <c r="D43" s="717" t="s">
        <v>254</v>
      </c>
      <c r="E43" s="718" t="s">
        <v>254</v>
      </c>
      <c r="F43" s="1007">
        <v>14</v>
      </c>
      <c r="G43" s="715" t="s">
        <v>591</v>
      </c>
      <c r="H43" s="716">
        <v>425</v>
      </c>
      <c r="I43" s="717">
        <v>0.1</v>
      </c>
      <c r="J43" s="718">
        <v>-0.1</v>
      </c>
      <c r="K43" s="1007">
        <v>14</v>
      </c>
      <c r="L43" s="715" t="s">
        <v>592</v>
      </c>
      <c r="M43" s="716">
        <v>584</v>
      </c>
      <c r="N43" s="717" t="s">
        <v>254</v>
      </c>
      <c r="O43" s="718" t="s">
        <v>254</v>
      </c>
      <c r="P43" s="692"/>
      <c r="Q43" s="173"/>
      <c r="R43" s="173"/>
      <c r="S43" s="173"/>
      <c r="T43" s="173"/>
      <c r="U43" s="173"/>
      <c r="V43" s="173"/>
      <c r="W43" s="173"/>
      <c r="X43" s="173"/>
      <c r="Y43" s="173"/>
      <c r="Z43" s="173"/>
      <c r="AA43" s="173"/>
      <c r="AB43" s="173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</row>
    <row r="44" spans="1:42" ht="12.75" customHeight="1">
      <c r="A44" s="1002"/>
      <c r="B44" s="700" t="s">
        <v>593</v>
      </c>
      <c r="C44" s="701">
        <v>217</v>
      </c>
      <c r="D44" s="702" t="s">
        <v>254</v>
      </c>
      <c r="E44" s="703" t="s">
        <v>254</v>
      </c>
      <c r="F44" s="1007"/>
      <c r="G44" s="700" t="s">
        <v>594</v>
      </c>
      <c r="H44" s="701">
        <v>441</v>
      </c>
      <c r="I44" s="702">
        <v>0.5</v>
      </c>
      <c r="J44" s="703">
        <v>-0.55000000000000004</v>
      </c>
      <c r="K44" s="1007"/>
      <c r="L44" s="700" t="s">
        <v>595</v>
      </c>
      <c r="M44" s="701">
        <v>592</v>
      </c>
      <c r="N44" s="702" t="s">
        <v>254</v>
      </c>
      <c r="O44" s="703" t="s">
        <v>254</v>
      </c>
      <c r="P44" s="692"/>
      <c r="Q44" s="173"/>
      <c r="R44" s="173"/>
      <c r="S44" s="173"/>
      <c r="T44" s="173"/>
      <c r="U44" s="173"/>
      <c r="V44" s="173"/>
      <c r="W44" s="173"/>
      <c r="X44" s="173"/>
      <c r="Y44" s="173"/>
      <c r="Z44" s="173"/>
      <c r="AA44" s="173"/>
      <c r="AB44" s="173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</row>
    <row r="45" spans="1:42" ht="12.75" customHeight="1" thickBot="1">
      <c r="A45" s="1003"/>
      <c r="B45" s="708" t="s">
        <v>596</v>
      </c>
      <c r="C45" s="709">
        <v>225</v>
      </c>
      <c r="D45" s="710" t="s">
        <v>254</v>
      </c>
      <c r="E45" s="711" t="s">
        <v>254</v>
      </c>
      <c r="F45" s="1007"/>
      <c r="G45" s="708" t="s">
        <v>597</v>
      </c>
      <c r="H45" s="709">
        <v>441</v>
      </c>
      <c r="I45" s="710">
        <v>0.3</v>
      </c>
      <c r="J45" s="711">
        <v>-0.3</v>
      </c>
      <c r="K45" s="1007"/>
      <c r="L45" s="708" t="s">
        <v>598</v>
      </c>
      <c r="M45" s="709">
        <v>600</v>
      </c>
      <c r="N45" s="710" t="s">
        <v>254</v>
      </c>
      <c r="O45" s="711" t="s">
        <v>254</v>
      </c>
      <c r="P45" s="692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</row>
    <row r="46" spans="1:42" ht="12.75" customHeight="1">
      <c r="A46" s="1001">
        <v>15</v>
      </c>
      <c r="B46" s="695" t="s">
        <v>599</v>
      </c>
      <c r="C46" s="696">
        <v>494</v>
      </c>
      <c r="D46" s="697">
        <v>-0.1</v>
      </c>
      <c r="E46" s="698">
        <v>0.1</v>
      </c>
      <c r="F46" s="1006">
        <v>15</v>
      </c>
      <c r="G46" s="695" t="s">
        <v>600</v>
      </c>
      <c r="H46" s="696">
        <v>261</v>
      </c>
      <c r="I46" s="697" t="s">
        <v>254</v>
      </c>
      <c r="J46" s="698" t="s">
        <v>254</v>
      </c>
      <c r="K46" s="1006">
        <v>15</v>
      </c>
      <c r="L46" s="695" t="s">
        <v>601</v>
      </c>
      <c r="M46" s="696">
        <v>446</v>
      </c>
      <c r="N46" s="697" t="s">
        <v>254</v>
      </c>
      <c r="O46" s="698" t="s">
        <v>254</v>
      </c>
      <c r="P46" s="692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</row>
    <row r="47" spans="1:42" ht="12.75" customHeight="1">
      <c r="A47" s="1002"/>
      <c r="B47" s="700" t="s">
        <v>602</v>
      </c>
      <c r="C47" s="701">
        <v>496</v>
      </c>
      <c r="D47" s="702" t="s">
        <v>254</v>
      </c>
      <c r="E47" s="703" t="s">
        <v>254</v>
      </c>
      <c r="F47" s="1007"/>
      <c r="G47" s="700" t="s">
        <v>603</v>
      </c>
      <c r="H47" s="701">
        <v>270</v>
      </c>
      <c r="I47" s="702" t="s">
        <v>254</v>
      </c>
      <c r="J47" s="703" t="s">
        <v>254</v>
      </c>
      <c r="K47" s="1007"/>
      <c r="L47" s="700" t="s">
        <v>604</v>
      </c>
      <c r="M47" s="701">
        <v>451</v>
      </c>
      <c r="N47" s="702" t="s">
        <v>254</v>
      </c>
      <c r="O47" s="703" t="s">
        <v>254</v>
      </c>
      <c r="P47" s="692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</row>
    <row r="48" spans="1:42" ht="12.75" customHeight="1" thickBot="1">
      <c r="A48" s="1003"/>
      <c r="B48" s="704" t="s">
        <v>605</v>
      </c>
      <c r="C48" s="705">
        <v>505</v>
      </c>
      <c r="D48" s="706" t="s">
        <v>254</v>
      </c>
      <c r="E48" s="707" t="s">
        <v>254</v>
      </c>
      <c r="F48" s="1008"/>
      <c r="G48" s="704" t="s">
        <v>606</v>
      </c>
      <c r="H48" s="705">
        <v>279</v>
      </c>
      <c r="I48" s="706" t="s">
        <v>254</v>
      </c>
      <c r="J48" s="707">
        <v>0.15</v>
      </c>
      <c r="K48" s="1008"/>
      <c r="L48" s="704" t="s">
        <v>607</v>
      </c>
      <c r="M48" s="705">
        <v>465</v>
      </c>
      <c r="N48" s="706" t="s">
        <v>254</v>
      </c>
      <c r="O48" s="707" t="s">
        <v>254</v>
      </c>
      <c r="P48" s="692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</row>
    <row r="49" spans="1:42" ht="12.75" customHeight="1">
      <c r="A49" s="1001">
        <v>16</v>
      </c>
      <c r="B49" s="715" t="s">
        <v>608</v>
      </c>
      <c r="C49" s="716">
        <v>372</v>
      </c>
      <c r="D49" s="717">
        <v>0.5</v>
      </c>
      <c r="E49" s="718" t="s">
        <v>254</v>
      </c>
      <c r="F49" s="1007">
        <v>16</v>
      </c>
      <c r="G49" s="715" t="s">
        <v>609</v>
      </c>
      <c r="H49" s="716">
        <v>220</v>
      </c>
      <c r="I49" s="717">
        <v>0.55000000000000004</v>
      </c>
      <c r="J49" s="718">
        <v>-0.45</v>
      </c>
      <c r="K49" s="1007">
        <v>16</v>
      </c>
      <c r="L49" s="715" t="s">
        <v>610</v>
      </c>
      <c r="M49" s="716">
        <v>165</v>
      </c>
      <c r="N49" s="717">
        <v>-0.1</v>
      </c>
      <c r="O49" s="718">
        <v>0</v>
      </c>
      <c r="P49" s="692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</row>
    <row r="50" spans="1:42" ht="12.75" customHeight="1">
      <c r="A50" s="1002"/>
      <c r="B50" s="700" t="s">
        <v>611</v>
      </c>
      <c r="C50" s="701">
        <v>374</v>
      </c>
      <c r="D50" s="702">
        <v>-0.1</v>
      </c>
      <c r="E50" s="703">
        <v>0.1</v>
      </c>
      <c r="F50" s="1007"/>
      <c r="G50" s="700" t="s">
        <v>612</v>
      </c>
      <c r="H50" s="701">
        <v>231</v>
      </c>
      <c r="I50" s="702">
        <v>-0.1</v>
      </c>
      <c r="J50" s="703">
        <v>0.1</v>
      </c>
      <c r="K50" s="1007"/>
      <c r="L50" s="700" t="s">
        <v>613</v>
      </c>
      <c r="M50" s="701">
        <v>169</v>
      </c>
      <c r="N50" s="702" t="s">
        <v>254</v>
      </c>
      <c r="O50" s="703">
        <v>0.1</v>
      </c>
      <c r="P50" s="692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</row>
    <row r="51" spans="1:42" ht="12.75" customHeight="1" thickBot="1">
      <c r="A51" s="1003"/>
      <c r="B51" s="708" t="s">
        <v>614</v>
      </c>
      <c r="C51" s="709">
        <v>389</v>
      </c>
      <c r="D51" s="710">
        <v>0.2</v>
      </c>
      <c r="E51" s="711">
        <v>-0.2</v>
      </c>
      <c r="F51" s="1007"/>
      <c r="G51" s="708" t="s">
        <v>615</v>
      </c>
      <c r="H51" s="709">
        <v>236</v>
      </c>
      <c r="I51" s="710" t="s">
        <v>254</v>
      </c>
      <c r="J51" s="711" t="s">
        <v>254</v>
      </c>
      <c r="K51" s="1007"/>
      <c r="L51" s="708" t="s">
        <v>616</v>
      </c>
      <c r="M51" s="709">
        <v>178</v>
      </c>
      <c r="N51" s="710">
        <v>0</v>
      </c>
      <c r="O51" s="711">
        <v>0</v>
      </c>
      <c r="P51" s="692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</row>
    <row r="52" spans="1:42" ht="12.75" customHeight="1">
      <c r="A52" s="1001">
        <v>17</v>
      </c>
      <c r="B52" s="695" t="s">
        <v>617</v>
      </c>
      <c r="C52" s="696">
        <v>257</v>
      </c>
      <c r="D52" s="697" t="s">
        <v>254</v>
      </c>
      <c r="E52" s="698" t="s">
        <v>254</v>
      </c>
      <c r="F52" s="1006">
        <v>17</v>
      </c>
      <c r="G52" s="695" t="s">
        <v>618</v>
      </c>
      <c r="H52" s="696">
        <v>416</v>
      </c>
      <c r="I52" s="697">
        <v>0.4</v>
      </c>
      <c r="J52" s="698">
        <v>-0.4</v>
      </c>
      <c r="K52" s="1006">
        <v>17</v>
      </c>
      <c r="L52" s="695" t="s">
        <v>619</v>
      </c>
      <c r="M52" s="696">
        <v>452</v>
      </c>
      <c r="N52" s="697" t="s">
        <v>254</v>
      </c>
      <c r="O52" s="698" t="s">
        <v>254</v>
      </c>
      <c r="P52" s="692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</row>
    <row r="53" spans="1:42" ht="12.75" customHeight="1">
      <c r="A53" s="1002"/>
      <c r="B53" s="700" t="s">
        <v>620</v>
      </c>
      <c r="C53" s="701">
        <v>260</v>
      </c>
      <c r="D53" s="702" t="s">
        <v>254</v>
      </c>
      <c r="E53" s="703" t="s">
        <v>254</v>
      </c>
      <c r="F53" s="1007"/>
      <c r="G53" s="700" t="s">
        <v>621</v>
      </c>
      <c r="H53" s="701">
        <v>417</v>
      </c>
      <c r="I53" s="702">
        <v>0.3</v>
      </c>
      <c r="J53" s="703">
        <v>-0.35</v>
      </c>
      <c r="K53" s="1007"/>
      <c r="L53" s="700" t="s">
        <v>622</v>
      </c>
      <c r="M53" s="701">
        <v>453</v>
      </c>
      <c r="N53" s="702" t="s">
        <v>254</v>
      </c>
      <c r="O53" s="703" t="s">
        <v>254</v>
      </c>
      <c r="P53" s="692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</row>
    <row r="54" spans="1:42" ht="12.75" customHeight="1" thickBot="1">
      <c r="A54" s="1003"/>
      <c r="B54" s="704" t="s">
        <v>623</v>
      </c>
      <c r="C54" s="705">
        <v>272</v>
      </c>
      <c r="D54" s="706" t="s">
        <v>254</v>
      </c>
      <c r="E54" s="707" t="s">
        <v>254</v>
      </c>
      <c r="F54" s="1008"/>
      <c r="G54" s="704" t="s">
        <v>624</v>
      </c>
      <c r="H54" s="705">
        <v>439</v>
      </c>
      <c r="I54" s="706">
        <v>0.6</v>
      </c>
      <c r="J54" s="707">
        <v>-0.6</v>
      </c>
      <c r="K54" s="1008"/>
      <c r="L54" s="704" t="s">
        <v>625</v>
      </c>
      <c r="M54" s="705">
        <v>466</v>
      </c>
      <c r="N54" s="706" t="s">
        <v>254</v>
      </c>
      <c r="O54" s="707" t="s">
        <v>254</v>
      </c>
      <c r="P54" s="692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</row>
    <row r="55" spans="1:42" ht="12.75" customHeight="1">
      <c r="A55" s="1001">
        <v>18</v>
      </c>
      <c r="B55" s="715" t="s">
        <v>626</v>
      </c>
      <c r="C55" s="716">
        <v>455</v>
      </c>
      <c r="D55" s="717">
        <v>0</v>
      </c>
      <c r="E55" s="718">
        <v>0</v>
      </c>
      <c r="F55" s="1007">
        <v>18</v>
      </c>
      <c r="G55" s="715" t="s">
        <v>627</v>
      </c>
      <c r="H55" s="716">
        <v>409</v>
      </c>
      <c r="I55" s="717">
        <v>0.6</v>
      </c>
      <c r="J55" s="718">
        <v>-0.7</v>
      </c>
      <c r="K55" s="1007">
        <v>18</v>
      </c>
      <c r="L55" s="715" t="s">
        <v>628</v>
      </c>
      <c r="M55" s="716">
        <v>357</v>
      </c>
      <c r="N55" s="717">
        <v>0.5</v>
      </c>
      <c r="O55" s="718">
        <v>-0.45</v>
      </c>
      <c r="P55" s="692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</row>
    <row r="56" spans="1:42" ht="12.75" customHeight="1">
      <c r="A56" s="1002"/>
      <c r="B56" s="700" t="s">
        <v>629</v>
      </c>
      <c r="C56" s="701">
        <v>456</v>
      </c>
      <c r="D56" s="702">
        <v>-0.2</v>
      </c>
      <c r="E56" s="703">
        <v>0.2</v>
      </c>
      <c r="F56" s="1007"/>
      <c r="G56" s="700" t="s">
        <v>630</v>
      </c>
      <c r="H56" s="701">
        <v>415</v>
      </c>
      <c r="I56" s="702">
        <v>-0.35</v>
      </c>
      <c r="J56" s="703">
        <v>0.3</v>
      </c>
      <c r="K56" s="1007"/>
      <c r="L56" s="700" t="s">
        <v>631</v>
      </c>
      <c r="M56" s="701">
        <v>366</v>
      </c>
      <c r="N56" s="702" t="s">
        <v>254</v>
      </c>
      <c r="O56" s="703" t="s">
        <v>254</v>
      </c>
      <c r="P56" s="692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</row>
    <row r="57" spans="1:42" ht="12.75" customHeight="1" thickBot="1">
      <c r="A57" s="1003"/>
      <c r="B57" s="704" t="s">
        <v>632</v>
      </c>
      <c r="C57" s="705">
        <v>467</v>
      </c>
      <c r="D57" s="706">
        <v>0.05</v>
      </c>
      <c r="E57" s="707">
        <v>-0.05</v>
      </c>
      <c r="F57" s="1008"/>
      <c r="G57" s="704" t="s">
        <v>633</v>
      </c>
      <c r="H57" s="705">
        <v>427</v>
      </c>
      <c r="I57" s="706">
        <v>0</v>
      </c>
      <c r="J57" s="707">
        <v>-0.05</v>
      </c>
      <c r="K57" s="1008"/>
      <c r="L57" s="704" t="s">
        <v>634</v>
      </c>
      <c r="M57" s="705">
        <v>389</v>
      </c>
      <c r="N57" s="706" t="s">
        <v>254</v>
      </c>
      <c r="O57" s="707" t="s">
        <v>254</v>
      </c>
      <c r="P57" s="692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</row>
    <row r="58" spans="1:42" ht="12.75" customHeight="1" thickBot="1">
      <c r="A58" s="1004" t="s">
        <v>272</v>
      </c>
      <c r="B58" s="1004"/>
      <c r="C58" s="1004"/>
      <c r="D58" s="1004"/>
      <c r="E58" s="1004"/>
      <c r="F58" s="1004" t="s">
        <v>298</v>
      </c>
      <c r="G58" s="1004"/>
      <c r="H58" s="1004"/>
      <c r="I58" s="1004"/>
      <c r="J58" s="1004"/>
      <c r="K58" s="1004" t="s">
        <v>307</v>
      </c>
      <c r="L58" s="1004"/>
      <c r="M58" s="1004"/>
      <c r="N58" s="1004"/>
      <c r="O58" s="1004"/>
      <c r="P58" s="692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</row>
    <row r="59" spans="1:42" ht="12.75" customHeight="1" thickBot="1">
      <c r="A59" s="1004"/>
      <c r="B59" s="1004"/>
      <c r="C59" s="1004"/>
      <c r="D59" s="1004"/>
      <c r="E59" s="1004"/>
      <c r="F59" s="1004"/>
      <c r="G59" s="1004"/>
      <c r="H59" s="1004"/>
      <c r="I59" s="1004"/>
      <c r="J59" s="1004"/>
      <c r="K59" s="1004"/>
      <c r="L59" s="1004"/>
      <c r="M59" s="1004"/>
      <c r="N59" s="1004"/>
      <c r="O59" s="1004"/>
      <c r="P59" s="692"/>
      <c r="Q59" s="173"/>
      <c r="R59" s="173"/>
      <c r="S59" s="173"/>
      <c r="T59" s="173"/>
      <c r="U59" s="173"/>
      <c r="V59" s="173"/>
      <c r="W59" s="173"/>
      <c r="X59" s="173"/>
      <c r="Y59" s="173"/>
      <c r="Z59" s="173"/>
      <c r="AA59" s="173"/>
      <c r="AB59" s="173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</row>
    <row r="60" spans="1:42" ht="13.5" customHeight="1" thickBot="1">
      <c r="A60" s="1005" t="s">
        <v>261</v>
      </c>
      <c r="B60" s="1009"/>
      <c r="C60" s="694" t="s">
        <v>470</v>
      </c>
      <c r="D60" s="694" t="s">
        <v>471</v>
      </c>
      <c r="E60" s="694" t="s">
        <v>472</v>
      </c>
      <c r="F60" s="1005" t="s">
        <v>261</v>
      </c>
      <c r="G60" s="1009"/>
      <c r="H60" s="694" t="s">
        <v>470</v>
      </c>
      <c r="I60" s="694" t="s">
        <v>471</v>
      </c>
      <c r="J60" s="694" t="s">
        <v>472</v>
      </c>
      <c r="K60" s="1005" t="s">
        <v>261</v>
      </c>
      <c r="L60" s="1009"/>
      <c r="M60" s="694" t="s">
        <v>470</v>
      </c>
      <c r="N60" s="694" t="s">
        <v>471</v>
      </c>
      <c r="O60" s="694" t="s">
        <v>472</v>
      </c>
      <c r="P60" s="692"/>
      <c r="Q60" s="173"/>
      <c r="R60" s="173"/>
      <c r="S60" s="173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</row>
    <row r="61" spans="1:42" ht="12.75" customHeight="1">
      <c r="A61" s="1001">
        <v>1</v>
      </c>
      <c r="B61" s="695" t="s">
        <v>635</v>
      </c>
      <c r="C61" s="696">
        <v>377</v>
      </c>
      <c r="D61" s="697">
        <v>-0.7</v>
      </c>
      <c r="E61" s="698">
        <v>0.5</v>
      </c>
      <c r="F61" s="1006">
        <v>1</v>
      </c>
      <c r="G61" s="695" t="s">
        <v>636</v>
      </c>
      <c r="H61" s="696">
        <v>338</v>
      </c>
      <c r="I61" s="697">
        <v>0.6</v>
      </c>
      <c r="J61" s="698">
        <v>-0.6</v>
      </c>
      <c r="K61" s="1006">
        <v>1</v>
      </c>
      <c r="L61" s="695" t="s">
        <v>475</v>
      </c>
      <c r="M61" s="696">
        <v>369</v>
      </c>
      <c r="N61" s="697">
        <v>0.25</v>
      </c>
      <c r="O61" s="698">
        <v>-0.2</v>
      </c>
      <c r="P61" s="692"/>
      <c r="Q61" s="173"/>
      <c r="R61" s="173"/>
      <c r="S61" s="173"/>
      <c r="T61" s="173"/>
      <c r="U61" s="173"/>
      <c r="V61" s="173"/>
      <c r="W61" s="173"/>
      <c r="X61" s="173"/>
      <c r="Y61" s="173"/>
      <c r="Z61" s="173"/>
      <c r="AA61" s="173"/>
      <c r="AB61" s="173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</row>
    <row r="62" spans="1:42" ht="12.75" customHeight="1">
      <c r="A62" s="1002"/>
      <c r="B62" s="700" t="s">
        <v>637</v>
      </c>
      <c r="C62" s="701">
        <v>378</v>
      </c>
      <c r="D62" s="702">
        <v>-0.3</v>
      </c>
      <c r="E62" s="703">
        <v>0.5</v>
      </c>
      <c r="F62" s="1007"/>
      <c r="G62" s="700" t="s">
        <v>638</v>
      </c>
      <c r="H62" s="701">
        <v>352</v>
      </c>
      <c r="I62" s="702">
        <v>0.15</v>
      </c>
      <c r="J62" s="703">
        <v>-0.1</v>
      </c>
      <c r="K62" s="1007"/>
      <c r="L62" s="700" t="s">
        <v>478</v>
      </c>
      <c r="M62" s="701">
        <v>371</v>
      </c>
      <c r="N62" s="702">
        <v>0.1</v>
      </c>
      <c r="O62" s="703">
        <v>0</v>
      </c>
      <c r="P62" s="692"/>
      <c r="Q62" s="173"/>
      <c r="R62" s="173"/>
      <c r="S62" s="173"/>
      <c r="T62" s="173"/>
      <c r="U62" s="173"/>
      <c r="V62" s="173"/>
      <c r="W62" s="173"/>
      <c r="X62" s="173"/>
      <c r="Y62" s="173"/>
      <c r="Z62" s="173"/>
      <c r="AA62" s="173"/>
      <c r="AB62" s="173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</row>
    <row r="63" spans="1:42" ht="12.75" customHeight="1" thickBot="1">
      <c r="A63" s="1003"/>
      <c r="B63" s="708" t="s">
        <v>639</v>
      </c>
      <c r="C63" s="709">
        <v>381</v>
      </c>
      <c r="D63" s="710">
        <v>-0.8</v>
      </c>
      <c r="E63" s="711">
        <v>0.7</v>
      </c>
      <c r="F63" s="1007"/>
      <c r="G63" s="708" t="s">
        <v>640</v>
      </c>
      <c r="H63" s="709">
        <v>357</v>
      </c>
      <c r="I63" s="710">
        <v>-0.1</v>
      </c>
      <c r="J63" s="711">
        <v>0.1</v>
      </c>
      <c r="K63" s="1007"/>
      <c r="L63" s="708" t="s">
        <v>481</v>
      </c>
      <c r="M63" s="709">
        <v>381</v>
      </c>
      <c r="N63" s="710">
        <v>0</v>
      </c>
      <c r="O63" s="711">
        <v>0</v>
      </c>
      <c r="P63" s="692"/>
      <c r="Q63" s="173"/>
      <c r="R63" s="173"/>
      <c r="S63" s="173"/>
      <c r="T63" s="173"/>
      <c r="U63" s="173"/>
      <c r="V63" s="173"/>
      <c r="W63" s="173"/>
      <c r="X63" s="173"/>
      <c r="Y63" s="173"/>
      <c r="Z63" s="173"/>
      <c r="AA63" s="173"/>
      <c r="AB63" s="17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</row>
    <row r="64" spans="1:42" ht="12.75" customHeight="1">
      <c r="A64" s="1001">
        <v>2</v>
      </c>
      <c r="B64" s="695" t="s">
        <v>641</v>
      </c>
      <c r="C64" s="696">
        <v>232</v>
      </c>
      <c r="D64" s="697">
        <v>0</v>
      </c>
      <c r="E64" s="698">
        <v>0</v>
      </c>
      <c r="F64" s="1006">
        <v>2</v>
      </c>
      <c r="G64" s="695" t="s">
        <v>642</v>
      </c>
      <c r="H64" s="696">
        <v>211</v>
      </c>
      <c r="I64" s="697">
        <v>0.6</v>
      </c>
      <c r="J64" s="698">
        <v>-0.65</v>
      </c>
      <c r="K64" s="1006">
        <v>2</v>
      </c>
      <c r="L64" s="695" t="s">
        <v>484</v>
      </c>
      <c r="M64" s="696">
        <v>207</v>
      </c>
      <c r="N64" s="697">
        <v>-0.15</v>
      </c>
      <c r="O64" s="698">
        <v>0.15</v>
      </c>
      <c r="P64" s="692"/>
      <c r="Q64" s="173"/>
      <c r="R64" s="173"/>
      <c r="S64" s="173"/>
      <c r="T64" s="173"/>
      <c r="U64" s="173"/>
      <c r="V64" s="173"/>
      <c r="W64" s="173"/>
      <c r="X64" s="173"/>
      <c r="Y64" s="173"/>
      <c r="Z64" s="173"/>
      <c r="AA64" s="173"/>
      <c r="AB64" s="173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</row>
    <row r="65" spans="1:42" ht="12.75" customHeight="1">
      <c r="A65" s="1002"/>
      <c r="B65" s="700" t="s">
        <v>643</v>
      </c>
      <c r="C65" s="701">
        <v>236</v>
      </c>
      <c r="D65" s="702">
        <v>0</v>
      </c>
      <c r="E65" s="703">
        <v>0.1</v>
      </c>
      <c r="F65" s="1007"/>
      <c r="G65" s="700" t="s">
        <v>644</v>
      </c>
      <c r="H65" s="701">
        <v>223</v>
      </c>
      <c r="I65" s="702">
        <v>0.25</v>
      </c>
      <c r="J65" s="703">
        <v>-0.3</v>
      </c>
      <c r="K65" s="1007"/>
      <c r="L65" s="700" t="s">
        <v>487</v>
      </c>
      <c r="M65" s="701">
        <v>211</v>
      </c>
      <c r="N65" s="702">
        <v>-0.25</v>
      </c>
      <c r="O65" s="703">
        <v>0.15</v>
      </c>
      <c r="P65" s="692"/>
      <c r="Q65" s="173"/>
      <c r="R65" s="173"/>
      <c r="S65" s="173"/>
      <c r="T65" s="173"/>
      <c r="U65" s="173"/>
      <c r="V65" s="173"/>
      <c r="W65" s="173"/>
      <c r="X65" s="173"/>
      <c r="Y65" s="173"/>
      <c r="Z65" s="173"/>
      <c r="AA65" s="173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</row>
    <row r="66" spans="1:42" ht="12.75" customHeight="1" thickBot="1">
      <c r="A66" s="1003"/>
      <c r="B66" s="704" t="s">
        <v>645</v>
      </c>
      <c r="C66" s="705">
        <v>239</v>
      </c>
      <c r="D66" s="706">
        <v>-0.1</v>
      </c>
      <c r="E66" s="707">
        <v>0.1</v>
      </c>
      <c r="F66" s="1008"/>
      <c r="G66" s="704" t="s">
        <v>646</v>
      </c>
      <c r="H66" s="705">
        <v>231</v>
      </c>
      <c r="I66" s="706">
        <v>0.2</v>
      </c>
      <c r="J66" s="707">
        <v>-0.1</v>
      </c>
      <c r="K66" s="1008"/>
      <c r="L66" s="704" t="s">
        <v>490</v>
      </c>
      <c r="M66" s="705">
        <v>221</v>
      </c>
      <c r="N66" s="706">
        <v>-0.2</v>
      </c>
      <c r="O66" s="707">
        <v>0.2</v>
      </c>
      <c r="P66" s="692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</row>
    <row r="67" spans="1:42" ht="12.75" customHeight="1">
      <c r="A67" s="1001">
        <v>3</v>
      </c>
      <c r="B67" s="715" t="s">
        <v>647</v>
      </c>
      <c r="C67" s="716">
        <v>422</v>
      </c>
      <c r="D67" s="717">
        <v>-0.25</v>
      </c>
      <c r="E67" s="718">
        <v>0.2</v>
      </c>
      <c r="F67" s="1007">
        <v>3</v>
      </c>
      <c r="G67" s="715" t="s">
        <v>648</v>
      </c>
      <c r="H67" s="716">
        <v>365</v>
      </c>
      <c r="I67" s="717">
        <v>0</v>
      </c>
      <c r="J67" s="718">
        <v>0</v>
      </c>
      <c r="K67" s="1007">
        <v>3</v>
      </c>
      <c r="L67" s="715" t="s">
        <v>493</v>
      </c>
      <c r="M67" s="716">
        <v>427</v>
      </c>
      <c r="N67" s="717">
        <v>0.3</v>
      </c>
      <c r="O67" s="718">
        <v>-0.2</v>
      </c>
      <c r="P67" s="692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</row>
    <row r="68" spans="1:42" ht="12.75" customHeight="1">
      <c r="A68" s="1002"/>
      <c r="B68" s="700" t="s">
        <v>649</v>
      </c>
      <c r="C68" s="701">
        <v>423</v>
      </c>
      <c r="D68" s="702">
        <v>0</v>
      </c>
      <c r="E68" s="703">
        <v>0</v>
      </c>
      <c r="F68" s="1007"/>
      <c r="G68" s="700" t="s">
        <v>650</v>
      </c>
      <c r="H68" s="701">
        <v>373</v>
      </c>
      <c r="I68" s="702">
        <v>0</v>
      </c>
      <c r="J68" s="703">
        <v>0</v>
      </c>
      <c r="K68" s="1007"/>
      <c r="L68" s="700" t="s">
        <v>496</v>
      </c>
      <c r="M68" s="701">
        <v>431</v>
      </c>
      <c r="N68" s="702">
        <v>0.2</v>
      </c>
      <c r="O68" s="703">
        <v>-0.2</v>
      </c>
      <c r="P68" s="692"/>
      <c r="Q68" s="173"/>
      <c r="R68" s="173"/>
      <c r="S68" s="173"/>
      <c r="T68" s="173"/>
      <c r="U68" s="173"/>
      <c r="V68" s="173"/>
      <c r="W68" s="173"/>
      <c r="X68" s="173"/>
      <c r="Y68" s="173"/>
      <c r="Z68" s="173"/>
      <c r="AA68" s="173"/>
      <c r="AB68" s="173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</row>
    <row r="69" spans="1:42" ht="12.75" customHeight="1" thickBot="1">
      <c r="A69" s="1003"/>
      <c r="B69" s="708" t="s">
        <v>651</v>
      </c>
      <c r="C69" s="709" t="s">
        <v>134</v>
      </c>
      <c r="D69" s="710" t="s">
        <v>254</v>
      </c>
      <c r="E69" s="711" t="s">
        <v>254</v>
      </c>
      <c r="F69" s="1007"/>
      <c r="G69" s="708" t="s">
        <v>652</v>
      </c>
      <c r="H69" s="709">
        <v>378</v>
      </c>
      <c r="I69" s="710">
        <v>0</v>
      </c>
      <c r="J69" s="711">
        <v>0</v>
      </c>
      <c r="K69" s="1007"/>
      <c r="L69" s="708" t="s">
        <v>499</v>
      </c>
      <c r="M69" s="709">
        <v>433</v>
      </c>
      <c r="N69" s="710">
        <v>0.4</v>
      </c>
      <c r="O69" s="711">
        <v>0</v>
      </c>
      <c r="P69" s="692"/>
      <c r="Q69" s="173"/>
      <c r="R69" s="173"/>
      <c r="S69" s="173"/>
      <c r="T69" s="173"/>
      <c r="U69" s="173"/>
      <c r="V69" s="173"/>
      <c r="W69" s="173"/>
      <c r="X69" s="173"/>
      <c r="Y69" s="173"/>
      <c r="Z69" s="173"/>
      <c r="AA69" s="173"/>
      <c r="AB69" s="173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</row>
    <row r="70" spans="1:42" ht="12.75" customHeight="1">
      <c r="A70" s="1001">
        <v>4</v>
      </c>
      <c r="B70" s="695" t="s">
        <v>653</v>
      </c>
      <c r="C70" s="696">
        <v>345</v>
      </c>
      <c r="D70" s="697" t="s">
        <v>254</v>
      </c>
      <c r="E70" s="698">
        <v>0.5</v>
      </c>
      <c r="F70" s="1006">
        <v>4</v>
      </c>
      <c r="G70" s="695" t="s">
        <v>654</v>
      </c>
      <c r="H70" s="696">
        <v>324</v>
      </c>
      <c r="I70" s="697" t="s">
        <v>254</v>
      </c>
      <c r="J70" s="698" t="s">
        <v>254</v>
      </c>
      <c r="K70" s="1006">
        <v>4</v>
      </c>
      <c r="L70" s="695" t="s">
        <v>502</v>
      </c>
      <c r="M70" s="696">
        <v>496</v>
      </c>
      <c r="N70" s="697">
        <v>-0.1</v>
      </c>
      <c r="O70" s="698" t="s">
        <v>254</v>
      </c>
      <c r="P70" s="692"/>
      <c r="Q70" s="173"/>
      <c r="R70" s="173"/>
      <c r="S70" s="173"/>
      <c r="T70" s="173"/>
      <c r="U70" s="173"/>
      <c r="V70" s="173"/>
      <c r="W70" s="173"/>
      <c r="X70" s="173"/>
      <c r="Y70" s="173"/>
      <c r="Z70" s="173"/>
      <c r="AA70" s="173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</row>
    <row r="71" spans="1:42" ht="12.75" customHeight="1">
      <c r="A71" s="1002"/>
      <c r="B71" s="700" t="s">
        <v>655</v>
      </c>
      <c r="C71" s="701">
        <v>352</v>
      </c>
      <c r="D71" s="702" t="s">
        <v>254</v>
      </c>
      <c r="E71" s="703" t="s">
        <v>254</v>
      </c>
      <c r="F71" s="1007"/>
      <c r="G71" s="700" t="s">
        <v>656</v>
      </c>
      <c r="H71" s="701">
        <v>327</v>
      </c>
      <c r="I71" s="702" t="s">
        <v>254</v>
      </c>
      <c r="J71" s="703" t="s">
        <v>254</v>
      </c>
      <c r="K71" s="1007"/>
      <c r="L71" s="700" t="s">
        <v>505</v>
      </c>
      <c r="M71" s="701">
        <v>509</v>
      </c>
      <c r="N71" s="702">
        <v>-0.4</v>
      </c>
      <c r="O71" s="703">
        <v>0.45</v>
      </c>
      <c r="P71" s="692"/>
      <c r="Q71" s="173"/>
      <c r="R71" s="173"/>
      <c r="S71" s="173"/>
      <c r="T71" s="173"/>
      <c r="U71" s="173"/>
      <c r="V71" s="173"/>
      <c r="W71" s="173"/>
      <c r="X71" s="173"/>
      <c r="Y71" s="173"/>
      <c r="Z71" s="173"/>
      <c r="AA71" s="173"/>
      <c r="AB71" s="173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</row>
    <row r="72" spans="1:42" ht="12.75" customHeight="1" thickBot="1">
      <c r="A72" s="1003"/>
      <c r="B72" s="704" t="s">
        <v>657</v>
      </c>
      <c r="C72" s="705">
        <v>353</v>
      </c>
      <c r="D72" s="706">
        <v>1.8</v>
      </c>
      <c r="E72" s="707">
        <v>-1.85</v>
      </c>
      <c r="F72" s="1008"/>
      <c r="G72" s="704" t="s">
        <v>658</v>
      </c>
      <c r="H72" s="705">
        <v>330</v>
      </c>
      <c r="I72" s="706" t="s">
        <v>254</v>
      </c>
      <c r="J72" s="707" t="s">
        <v>254</v>
      </c>
      <c r="K72" s="1008"/>
      <c r="L72" s="704" t="s">
        <v>508</v>
      </c>
      <c r="M72" s="705">
        <v>510</v>
      </c>
      <c r="N72" s="706">
        <v>0.1</v>
      </c>
      <c r="O72" s="707">
        <v>-0.1</v>
      </c>
      <c r="P72" s="692"/>
      <c r="Q72" s="173"/>
      <c r="R72" s="173"/>
      <c r="S72" s="173"/>
      <c r="T72" s="173"/>
      <c r="U72" s="173"/>
      <c r="V72" s="173"/>
      <c r="W72" s="173"/>
      <c r="X72" s="173"/>
      <c r="Y72" s="173"/>
      <c r="Z72" s="173"/>
      <c r="AA72" s="173"/>
      <c r="AB72" s="173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</row>
    <row r="73" spans="1:42" ht="12.75" customHeight="1">
      <c r="A73" s="1001">
        <v>5</v>
      </c>
      <c r="B73" s="715" t="s">
        <v>659</v>
      </c>
      <c r="C73" s="716">
        <v>275</v>
      </c>
      <c r="D73" s="717">
        <v>0</v>
      </c>
      <c r="E73" s="718">
        <v>0</v>
      </c>
      <c r="F73" s="1007">
        <v>5</v>
      </c>
      <c r="G73" s="715" t="s">
        <v>660</v>
      </c>
      <c r="H73" s="716">
        <v>360</v>
      </c>
      <c r="I73" s="717">
        <v>0</v>
      </c>
      <c r="J73" s="718" t="s">
        <v>254</v>
      </c>
      <c r="K73" s="1007">
        <v>5</v>
      </c>
      <c r="L73" s="715" t="s">
        <v>511</v>
      </c>
      <c r="M73" s="716">
        <v>415</v>
      </c>
      <c r="N73" s="717" t="s">
        <v>254</v>
      </c>
      <c r="O73" s="718" t="s">
        <v>254</v>
      </c>
      <c r="P73" s="692"/>
      <c r="Q73" s="173"/>
      <c r="R73" s="173"/>
      <c r="S73" s="173"/>
      <c r="T73" s="173"/>
      <c r="U73" s="173"/>
      <c r="V73" s="173"/>
      <c r="W73" s="173"/>
      <c r="X73" s="173"/>
      <c r="Y73" s="173"/>
      <c r="Z73" s="173"/>
      <c r="AA73" s="173"/>
      <c r="AB73" s="1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</row>
    <row r="74" spans="1:42" ht="12.75" customHeight="1">
      <c r="A74" s="1002"/>
      <c r="B74" s="700" t="s">
        <v>661</v>
      </c>
      <c r="C74" s="701">
        <v>282</v>
      </c>
      <c r="D74" s="702">
        <v>0</v>
      </c>
      <c r="E74" s="703">
        <v>0</v>
      </c>
      <c r="F74" s="1007"/>
      <c r="G74" s="700" t="s">
        <v>662</v>
      </c>
      <c r="H74" s="701">
        <v>376</v>
      </c>
      <c r="I74" s="702">
        <v>0</v>
      </c>
      <c r="J74" s="703">
        <v>0</v>
      </c>
      <c r="K74" s="1007"/>
      <c r="L74" s="700" t="s">
        <v>514</v>
      </c>
      <c r="M74" s="701">
        <v>422</v>
      </c>
      <c r="N74" s="702" t="s">
        <v>254</v>
      </c>
      <c r="O74" s="703">
        <v>0.2</v>
      </c>
      <c r="P74" s="692"/>
      <c r="Q74" s="173"/>
      <c r="R74" s="173"/>
      <c r="S74" s="173"/>
      <c r="T74" s="173"/>
      <c r="U74" s="173"/>
      <c r="V74" s="173"/>
      <c r="W74" s="173"/>
      <c r="X74" s="173"/>
      <c r="Y74" s="173"/>
      <c r="Z74" s="173"/>
      <c r="AA74" s="173"/>
      <c r="AB74" s="173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</row>
    <row r="75" spans="1:42" ht="12.75" customHeight="1" thickBot="1">
      <c r="A75" s="1003"/>
      <c r="B75" s="708" t="s">
        <v>663</v>
      </c>
      <c r="C75" s="709">
        <v>284</v>
      </c>
      <c r="D75" s="710">
        <v>0</v>
      </c>
      <c r="E75" s="711">
        <v>0</v>
      </c>
      <c r="F75" s="1007"/>
      <c r="G75" s="708" t="s">
        <v>664</v>
      </c>
      <c r="H75" s="709">
        <v>377</v>
      </c>
      <c r="I75" s="710">
        <v>0</v>
      </c>
      <c r="J75" s="711">
        <v>0</v>
      </c>
      <c r="K75" s="1007"/>
      <c r="L75" s="708" t="s">
        <v>517</v>
      </c>
      <c r="M75" s="709">
        <v>429</v>
      </c>
      <c r="N75" s="710">
        <v>0.3</v>
      </c>
      <c r="O75" s="711">
        <v>-0.3</v>
      </c>
      <c r="P75" s="692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</row>
    <row r="76" spans="1:42" ht="12.75" customHeight="1">
      <c r="A76" s="1001">
        <v>6</v>
      </c>
      <c r="B76" s="695" t="s">
        <v>665</v>
      </c>
      <c r="C76" s="696">
        <v>233</v>
      </c>
      <c r="D76" s="697">
        <v>0.6</v>
      </c>
      <c r="E76" s="698">
        <v>-0.6</v>
      </c>
      <c r="F76" s="1006">
        <v>6</v>
      </c>
      <c r="G76" s="695" t="s">
        <v>666</v>
      </c>
      <c r="H76" s="696">
        <v>230</v>
      </c>
      <c r="I76" s="697">
        <v>0.3</v>
      </c>
      <c r="J76" s="698">
        <v>-0.3</v>
      </c>
      <c r="K76" s="1006">
        <v>6</v>
      </c>
      <c r="L76" s="695" t="s">
        <v>520</v>
      </c>
      <c r="M76" s="696">
        <v>212</v>
      </c>
      <c r="N76" s="697">
        <v>-0.2</v>
      </c>
      <c r="O76" s="698">
        <v>0.2</v>
      </c>
      <c r="P76" s="692"/>
      <c r="Q76" s="173"/>
      <c r="R76" s="173"/>
      <c r="S76" s="173"/>
      <c r="T76" s="173"/>
      <c r="U76" s="173"/>
      <c r="V76" s="173"/>
      <c r="W76" s="173"/>
      <c r="X76" s="173"/>
      <c r="Y76" s="173"/>
      <c r="Z76" s="173"/>
      <c r="AA76" s="173"/>
      <c r="AB76" s="173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</row>
    <row r="77" spans="1:42" ht="12.75" customHeight="1">
      <c r="A77" s="1002"/>
      <c r="B77" s="700" t="s">
        <v>667</v>
      </c>
      <c r="C77" s="701">
        <v>239</v>
      </c>
      <c r="D77" s="702">
        <v>1.6</v>
      </c>
      <c r="E77" s="703">
        <v>-1.5</v>
      </c>
      <c r="F77" s="1007"/>
      <c r="G77" s="700" t="s">
        <v>668</v>
      </c>
      <c r="H77" s="701">
        <v>238</v>
      </c>
      <c r="I77" s="702">
        <v>0.35</v>
      </c>
      <c r="J77" s="703">
        <v>-0.3</v>
      </c>
      <c r="K77" s="1007"/>
      <c r="L77" s="700" t="s">
        <v>523</v>
      </c>
      <c r="M77" s="701">
        <v>215</v>
      </c>
      <c r="N77" s="702">
        <v>0.15</v>
      </c>
      <c r="O77" s="703">
        <v>0</v>
      </c>
      <c r="P77" s="692"/>
      <c r="Q77" s="173"/>
      <c r="R77" s="173"/>
      <c r="S77" s="173"/>
      <c r="T77" s="173"/>
      <c r="U77" s="173"/>
      <c r="V77" s="173"/>
      <c r="W77" s="173"/>
      <c r="X77" s="173"/>
      <c r="Y77" s="173"/>
      <c r="Z77" s="173"/>
      <c r="AA77" s="173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</row>
    <row r="78" spans="1:42" ht="12.75" customHeight="1" thickBot="1">
      <c r="A78" s="1003"/>
      <c r="B78" s="704" t="s">
        <v>669</v>
      </c>
      <c r="C78" s="705">
        <v>240</v>
      </c>
      <c r="D78" s="706">
        <v>0.85</v>
      </c>
      <c r="E78" s="707">
        <v>-0.7</v>
      </c>
      <c r="F78" s="1008"/>
      <c r="G78" s="704" t="s">
        <v>670</v>
      </c>
      <c r="H78" s="705">
        <v>240</v>
      </c>
      <c r="I78" s="706">
        <v>0.25</v>
      </c>
      <c r="J78" s="707">
        <v>-0.2</v>
      </c>
      <c r="K78" s="1008"/>
      <c r="L78" s="704" t="s">
        <v>526</v>
      </c>
      <c r="M78" s="705">
        <v>242</v>
      </c>
      <c r="N78" s="706">
        <v>-0.3</v>
      </c>
      <c r="O78" s="707">
        <v>0.3</v>
      </c>
      <c r="P78" s="692"/>
      <c r="Q78" s="173"/>
      <c r="R78" s="173"/>
      <c r="S78" s="173"/>
      <c r="T78" s="173"/>
      <c r="U78" s="173"/>
      <c r="V78" s="173"/>
      <c r="W78" s="173"/>
      <c r="X78" s="173"/>
      <c r="Y78" s="173"/>
      <c r="Z78" s="173"/>
      <c r="AA78" s="173"/>
      <c r="AB78" s="173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</row>
    <row r="79" spans="1:42" ht="12.75" customHeight="1">
      <c r="A79" s="1001">
        <v>7</v>
      </c>
      <c r="B79" s="715" t="s">
        <v>671</v>
      </c>
      <c r="C79" s="716">
        <v>370</v>
      </c>
      <c r="D79" s="717">
        <v>-0.6</v>
      </c>
      <c r="E79" s="718">
        <v>0.65</v>
      </c>
      <c r="F79" s="1007">
        <v>7</v>
      </c>
      <c r="G79" s="715" t="s">
        <v>672</v>
      </c>
      <c r="H79" s="716">
        <v>470</v>
      </c>
      <c r="I79" s="717">
        <v>0.1</v>
      </c>
      <c r="J79" s="718">
        <v>-0.1</v>
      </c>
      <c r="K79" s="1007">
        <v>7</v>
      </c>
      <c r="L79" s="715" t="s">
        <v>529</v>
      </c>
      <c r="M79" s="716">
        <v>520</v>
      </c>
      <c r="N79" s="717">
        <v>0.9</v>
      </c>
      <c r="O79" s="718">
        <v>-0.8</v>
      </c>
      <c r="P79" s="692"/>
      <c r="Q79" s="173"/>
      <c r="R79" s="173"/>
      <c r="S79" s="173"/>
      <c r="T79" s="173"/>
      <c r="U79" s="173"/>
      <c r="V79" s="173"/>
      <c r="W79" s="173"/>
      <c r="X79" s="173"/>
      <c r="Y79" s="173"/>
      <c r="Z79" s="173"/>
      <c r="AA79" s="173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</row>
    <row r="80" spans="1:42" ht="12.75" customHeight="1">
      <c r="A80" s="1002"/>
      <c r="B80" s="700" t="s">
        <v>673</v>
      </c>
      <c r="C80" s="701">
        <v>379</v>
      </c>
      <c r="D80" s="702">
        <v>0.6</v>
      </c>
      <c r="E80" s="703">
        <v>-0.65</v>
      </c>
      <c r="F80" s="1007"/>
      <c r="G80" s="700" t="s">
        <v>674</v>
      </c>
      <c r="H80" s="701">
        <v>481</v>
      </c>
      <c r="I80" s="702">
        <v>0.1</v>
      </c>
      <c r="J80" s="703">
        <v>-0.1</v>
      </c>
      <c r="K80" s="1007"/>
      <c r="L80" s="700" t="s">
        <v>532</v>
      </c>
      <c r="M80" s="701">
        <v>524</v>
      </c>
      <c r="N80" s="702" t="s">
        <v>254</v>
      </c>
      <c r="O80" s="703" t="s">
        <v>254</v>
      </c>
      <c r="P80" s="692"/>
      <c r="Q80" s="173"/>
      <c r="R80" s="173"/>
      <c r="S80" s="173"/>
      <c r="T80" s="173"/>
      <c r="U80" s="173"/>
      <c r="V80" s="173"/>
      <c r="W80" s="173"/>
      <c r="X80" s="173"/>
      <c r="Y80" s="173"/>
      <c r="Z80" s="173"/>
      <c r="AA80" s="173"/>
      <c r="AB80" s="173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</row>
    <row r="81" spans="1:42" ht="12.75" customHeight="1" thickBot="1">
      <c r="A81" s="1003"/>
      <c r="B81" s="708" t="s">
        <v>675</v>
      </c>
      <c r="C81" s="709">
        <v>384</v>
      </c>
      <c r="D81" s="710">
        <v>0.15</v>
      </c>
      <c r="E81" s="711">
        <v>-0.05</v>
      </c>
      <c r="F81" s="1007"/>
      <c r="G81" s="708" t="s">
        <v>676</v>
      </c>
      <c r="H81" s="709">
        <v>484</v>
      </c>
      <c r="I81" s="710">
        <v>0.2</v>
      </c>
      <c r="J81" s="711">
        <v>-0.2</v>
      </c>
      <c r="K81" s="1007"/>
      <c r="L81" s="708" t="s">
        <v>535</v>
      </c>
      <c r="M81" s="709">
        <v>526</v>
      </c>
      <c r="N81" s="710" t="s">
        <v>254</v>
      </c>
      <c r="O81" s="711" t="s">
        <v>254</v>
      </c>
      <c r="P81" s="692"/>
      <c r="Q81" s="173"/>
      <c r="R81" s="173"/>
      <c r="S81" s="173"/>
      <c r="T81" s="173"/>
      <c r="U81" s="173"/>
      <c r="V81" s="173"/>
      <c r="W81" s="173"/>
      <c r="X81" s="173"/>
      <c r="Y81" s="173"/>
      <c r="Z81" s="173"/>
      <c r="AA81" s="173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</row>
    <row r="82" spans="1:42" ht="12.75" customHeight="1">
      <c r="A82" s="1001">
        <v>8</v>
      </c>
      <c r="B82" s="695" t="s">
        <v>677</v>
      </c>
      <c r="C82" s="696">
        <v>372</v>
      </c>
      <c r="D82" s="697" t="s">
        <v>254</v>
      </c>
      <c r="E82" s="698" t="s">
        <v>254</v>
      </c>
      <c r="F82" s="1006">
        <v>8</v>
      </c>
      <c r="G82" s="695" t="s">
        <v>678</v>
      </c>
      <c r="H82" s="696">
        <v>387</v>
      </c>
      <c r="I82" s="697">
        <v>0.6</v>
      </c>
      <c r="J82" s="698">
        <v>-0.75</v>
      </c>
      <c r="K82" s="1006">
        <v>8</v>
      </c>
      <c r="L82" s="695" t="s">
        <v>538</v>
      </c>
      <c r="M82" s="696">
        <v>360</v>
      </c>
      <c r="N82" s="697" t="s">
        <v>254</v>
      </c>
      <c r="O82" s="698" t="s">
        <v>254</v>
      </c>
      <c r="P82" s="692"/>
      <c r="Q82" s="173"/>
      <c r="R82" s="173"/>
      <c r="S82" s="173"/>
      <c r="T82" s="173"/>
      <c r="U82" s="173"/>
      <c r="V82" s="173"/>
      <c r="W82" s="173"/>
      <c r="X82" s="173"/>
      <c r="Y82" s="173"/>
      <c r="Z82" s="173"/>
      <c r="AA82" s="173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</row>
    <row r="83" spans="1:42" ht="12.75" customHeight="1">
      <c r="A83" s="1002"/>
      <c r="B83" s="700" t="s">
        <v>679</v>
      </c>
      <c r="C83" s="701">
        <v>379</v>
      </c>
      <c r="D83" s="702" t="s">
        <v>254</v>
      </c>
      <c r="E83" s="703" t="s">
        <v>254</v>
      </c>
      <c r="F83" s="1007"/>
      <c r="G83" s="700" t="s">
        <v>680</v>
      </c>
      <c r="H83" s="701">
        <v>396</v>
      </c>
      <c r="I83" s="702">
        <v>0.6</v>
      </c>
      <c r="J83" s="703">
        <v>-0.7</v>
      </c>
      <c r="K83" s="1007"/>
      <c r="L83" s="700" t="s">
        <v>541</v>
      </c>
      <c r="M83" s="701">
        <v>381</v>
      </c>
      <c r="N83" s="702">
        <v>0.5</v>
      </c>
      <c r="O83" s="703">
        <v>-0.45</v>
      </c>
      <c r="P83" s="692"/>
      <c r="Q83" s="173"/>
      <c r="R83" s="173"/>
      <c r="S83" s="173"/>
      <c r="T83" s="173"/>
      <c r="U83" s="173"/>
      <c r="V83" s="173"/>
      <c r="W83" s="173"/>
      <c r="X83" s="173"/>
      <c r="Y83" s="173"/>
      <c r="Z83" s="173"/>
      <c r="AA83" s="173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</row>
    <row r="84" spans="1:42" ht="12.75" customHeight="1" thickBot="1">
      <c r="A84" s="1003"/>
      <c r="B84" s="704" t="s">
        <v>681</v>
      </c>
      <c r="C84" s="705">
        <v>381</v>
      </c>
      <c r="D84" s="706" t="s">
        <v>254</v>
      </c>
      <c r="E84" s="707" t="s">
        <v>254</v>
      </c>
      <c r="F84" s="1008"/>
      <c r="G84" s="704" t="s">
        <v>682</v>
      </c>
      <c r="H84" s="705">
        <v>399</v>
      </c>
      <c r="I84" s="706">
        <v>0.5</v>
      </c>
      <c r="J84" s="707">
        <v>-0.5</v>
      </c>
      <c r="K84" s="1008"/>
      <c r="L84" s="704" t="s">
        <v>544</v>
      </c>
      <c r="M84" s="705">
        <v>390</v>
      </c>
      <c r="N84" s="706" t="s">
        <v>254</v>
      </c>
      <c r="O84" s="707" t="s">
        <v>254</v>
      </c>
      <c r="P84" s="692"/>
      <c r="Q84" s="173"/>
      <c r="R84" s="173"/>
      <c r="S84" s="173"/>
      <c r="T84" s="173"/>
      <c r="U84" s="173"/>
      <c r="V84" s="173"/>
      <c r="W84" s="173"/>
      <c r="X84" s="720"/>
      <c r="Y84" s="721"/>
      <c r="Z84" s="721"/>
      <c r="AA84" s="721"/>
      <c r="AB84" s="721"/>
      <c r="AC84" s="720"/>
      <c r="AD84" s="721"/>
      <c r="AE84" s="721"/>
      <c r="AF84" s="721"/>
      <c r="AG84" s="721"/>
      <c r="AH84" s="720"/>
      <c r="AI84" s="721"/>
      <c r="AJ84" s="721"/>
      <c r="AK84" s="721"/>
      <c r="AL84" s="721"/>
      <c r="AM84" s="173"/>
      <c r="AN84" s="173"/>
      <c r="AO84" s="173"/>
      <c r="AP84" s="173"/>
    </row>
    <row r="85" spans="1:42" ht="12.75" customHeight="1">
      <c r="A85" s="1001">
        <v>9</v>
      </c>
      <c r="B85" s="715" t="s">
        <v>683</v>
      </c>
      <c r="C85" s="716">
        <v>264</v>
      </c>
      <c r="D85" s="717">
        <v>-0.45</v>
      </c>
      <c r="E85" s="718">
        <v>0.55000000000000004</v>
      </c>
      <c r="F85" s="1007">
        <v>9</v>
      </c>
      <c r="G85" s="715" t="s">
        <v>684</v>
      </c>
      <c r="H85" s="716">
        <v>439</v>
      </c>
      <c r="I85" s="717">
        <v>0</v>
      </c>
      <c r="J85" s="718">
        <v>0.1</v>
      </c>
      <c r="K85" s="1007">
        <v>9</v>
      </c>
      <c r="L85" s="715" t="s">
        <v>547</v>
      </c>
      <c r="M85" s="716">
        <v>422</v>
      </c>
      <c r="N85" s="717">
        <v>-0.2</v>
      </c>
      <c r="O85" s="718">
        <v>0.1</v>
      </c>
      <c r="P85" s="692"/>
      <c r="Q85" s="173"/>
      <c r="R85" s="173"/>
      <c r="S85" s="173"/>
      <c r="T85" s="173"/>
      <c r="U85" s="173"/>
      <c r="V85" s="173"/>
      <c r="W85" s="173"/>
      <c r="X85" s="699"/>
      <c r="Y85" s="699"/>
      <c r="Z85" s="699"/>
      <c r="AA85" s="699"/>
      <c r="AB85" s="699"/>
      <c r="AC85" s="699"/>
      <c r="AD85" s="699"/>
      <c r="AE85" s="699"/>
      <c r="AF85" s="699"/>
      <c r="AG85" s="699"/>
      <c r="AH85" s="699"/>
      <c r="AI85" s="699"/>
      <c r="AJ85" s="699"/>
      <c r="AK85" s="699"/>
      <c r="AL85" s="699"/>
      <c r="AM85" s="173"/>
      <c r="AN85" s="173"/>
      <c r="AO85" s="173"/>
      <c r="AP85" s="173"/>
    </row>
    <row r="86" spans="1:42" ht="12.75" customHeight="1">
      <c r="A86" s="1002"/>
      <c r="B86" s="700" t="s">
        <v>685</v>
      </c>
      <c r="C86" s="701">
        <v>268</v>
      </c>
      <c r="D86" s="702">
        <v>-0.1</v>
      </c>
      <c r="E86" s="703">
        <v>0.1</v>
      </c>
      <c r="F86" s="1007"/>
      <c r="G86" s="700" t="s">
        <v>686</v>
      </c>
      <c r="H86" s="701">
        <v>445</v>
      </c>
      <c r="I86" s="702">
        <v>0.05</v>
      </c>
      <c r="J86" s="703">
        <v>-0.05</v>
      </c>
      <c r="K86" s="1007"/>
      <c r="L86" s="700" t="s">
        <v>550</v>
      </c>
      <c r="M86" s="701">
        <v>435</v>
      </c>
      <c r="N86" s="702">
        <v>0.1</v>
      </c>
      <c r="O86" s="703">
        <v>-0.3</v>
      </c>
      <c r="P86" s="692"/>
      <c r="Q86" s="173"/>
      <c r="R86" s="173"/>
      <c r="S86" s="173"/>
      <c r="T86" s="173"/>
      <c r="U86" s="173"/>
      <c r="V86" s="173"/>
      <c r="W86" s="173"/>
      <c r="X86" s="10"/>
      <c r="Y86" s="173"/>
      <c r="Z86" s="173"/>
      <c r="AA86" s="173"/>
      <c r="AB86" s="173"/>
      <c r="AC86" s="10"/>
      <c r="AD86" s="173"/>
      <c r="AE86" s="173"/>
      <c r="AF86" s="173"/>
      <c r="AG86" s="173"/>
      <c r="AH86" s="10"/>
      <c r="AI86" s="173"/>
      <c r="AJ86" s="173"/>
      <c r="AK86" s="173"/>
      <c r="AL86" s="173"/>
      <c r="AM86" s="173"/>
      <c r="AN86" s="173"/>
      <c r="AO86" s="173"/>
      <c r="AP86" s="173"/>
    </row>
    <row r="87" spans="1:42" ht="12.75" customHeight="1" thickBot="1">
      <c r="A87" s="1003"/>
      <c r="B87" s="708" t="s">
        <v>687</v>
      </c>
      <c r="C87" s="709">
        <v>270</v>
      </c>
      <c r="D87" s="710">
        <v>-0.55000000000000004</v>
      </c>
      <c r="E87" s="711">
        <v>0.37</v>
      </c>
      <c r="F87" s="1007"/>
      <c r="G87" s="708" t="s">
        <v>688</v>
      </c>
      <c r="H87" s="709">
        <v>448</v>
      </c>
      <c r="I87" s="710">
        <v>0</v>
      </c>
      <c r="J87" s="711">
        <v>0</v>
      </c>
      <c r="K87" s="1007"/>
      <c r="L87" s="708" t="s">
        <v>553</v>
      </c>
      <c r="M87" s="709">
        <v>447</v>
      </c>
      <c r="N87" s="710">
        <v>0.1</v>
      </c>
      <c r="O87" s="711">
        <v>-0.2</v>
      </c>
      <c r="P87" s="692"/>
      <c r="Q87" s="173"/>
      <c r="R87" s="173"/>
      <c r="S87" s="173"/>
      <c r="T87" s="173"/>
      <c r="U87" s="173"/>
      <c r="V87" s="173"/>
      <c r="W87" s="173"/>
      <c r="X87" s="10"/>
      <c r="Y87" s="173"/>
      <c r="Z87" s="173"/>
      <c r="AA87" s="173"/>
      <c r="AB87" s="173"/>
      <c r="AC87" s="10"/>
      <c r="AD87" s="173"/>
      <c r="AE87" s="173"/>
      <c r="AF87" s="173"/>
      <c r="AG87" s="173"/>
      <c r="AH87" s="10"/>
      <c r="AI87" s="173"/>
      <c r="AJ87" s="173"/>
      <c r="AK87" s="173"/>
      <c r="AL87" s="173"/>
      <c r="AM87" s="173"/>
      <c r="AN87" s="173"/>
      <c r="AO87" s="173"/>
      <c r="AP87" s="173"/>
    </row>
    <row r="88" spans="1:42" ht="12.75" customHeight="1">
      <c r="A88" s="1001">
        <v>10</v>
      </c>
      <c r="B88" s="695" t="s">
        <v>689</v>
      </c>
      <c r="C88" s="696">
        <v>232</v>
      </c>
      <c r="D88" s="697">
        <v>-0.7</v>
      </c>
      <c r="E88" s="698">
        <v>0.85</v>
      </c>
      <c r="F88" s="1006">
        <v>10</v>
      </c>
      <c r="G88" s="695" t="s">
        <v>690</v>
      </c>
      <c r="H88" s="696">
        <v>379</v>
      </c>
      <c r="I88" s="697">
        <v>0.35</v>
      </c>
      <c r="J88" s="698">
        <v>-0.35</v>
      </c>
      <c r="K88" s="1006">
        <v>10</v>
      </c>
      <c r="L88" s="695" t="s">
        <v>556</v>
      </c>
      <c r="M88" s="696">
        <v>361</v>
      </c>
      <c r="N88" s="697">
        <v>0.3</v>
      </c>
      <c r="O88" s="698" t="s">
        <v>254</v>
      </c>
      <c r="P88" s="692"/>
      <c r="Q88" s="173"/>
      <c r="R88" s="173"/>
      <c r="S88" s="173"/>
      <c r="T88" s="173"/>
      <c r="U88" s="173"/>
      <c r="V88" s="173"/>
      <c r="W88" s="173"/>
      <c r="X88" s="10"/>
      <c r="Y88" s="173"/>
      <c r="Z88" s="173"/>
      <c r="AA88" s="173"/>
      <c r="AB88" s="173"/>
      <c r="AC88" s="10"/>
      <c r="AD88" s="173"/>
      <c r="AE88" s="173"/>
      <c r="AF88" s="173"/>
      <c r="AG88" s="173"/>
      <c r="AH88" s="10"/>
      <c r="AI88" s="173"/>
      <c r="AJ88" s="173"/>
      <c r="AK88" s="173"/>
      <c r="AL88" s="173"/>
      <c r="AM88" s="173"/>
      <c r="AN88" s="173"/>
      <c r="AO88" s="173"/>
      <c r="AP88" s="173"/>
    </row>
    <row r="89" spans="1:42" ht="12.75" customHeight="1">
      <c r="A89" s="1002"/>
      <c r="B89" s="700" t="s">
        <v>691</v>
      </c>
      <c r="C89" s="701">
        <v>234</v>
      </c>
      <c r="D89" s="702">
        <v>-0.45</v>
      </c>
      <c r="E89" s="703">
        <v>0.45</v>
      </c>
      <c r="F89" s="1007"/>
      <c r="G89" s="700" t="s">
        <v>692</v>
      </c>
      <c r="H89" s="701">
        <v>389</v>
      </c>
      <c r="I89" s="702">
        <v>0.3</v>
      </c>
      <c r="J89" s="703">
        <v>-0.3</v>
      </c>
      <c r="K89" s="1007"/>
      <c r="L89" s="700" t="s">
        <v>559</v>
      </c>
      <c r="M89" s="701">
        <v>374</v>
      </c>
      <c r="N89" s="702">
        <v>0.2</v>
      </c>
      <c r="O89" s="703">
        <v>-0.2</v>
      </c>
      <c r="P89" s="692"/>
      <c r="Q89" s="173"/>
      <c r="R89" s="173"/>
      <c r="S89" s="173"/>
      <c r="T89" s="173"/>
      <c r="U89" s="173"/>
      <c r="V89" s="173"/>
      <c r="W89" s="173"/>
      <c r="X89" s="10"/>
      <c r="Y89" s="173"/>
      <c r="Z89" s="173"/>
      <c r="AA89" s="173"/>
      <c r="AB89" s="173"/>
      <c r="AC89" s="10"/>
      <c r="AD89" s="173"/>
      <c r="AE89" s="173"/>
      <c r="AF89" s="173"/>
      <c r="AG89" s="173"/>
      <c r="AH89" s="10"/>
      <c r="AI89" s="173"/>
      <c r="AJ89" s="173"/>
      <c r="AK89" s="173"/>
      <c r="AL89" s="173"/>
      <c r="AM89" s="173"/>
      <c r="AN89" s="173"/>
      <c r="AO89" s="173"/>
      <c r="AP89" s="173"/>
    </row>
    <row r="90" spans="1:42" ht="12.75" customHeight="1" thickBot="1">
      <c r="A90" s="1003"/>
      <c r="B90" s="704" t="s">
        <v>693</v>
      </c>
      <c r="C90" s="705" t="s">
        <v>134</v>
      </c>
      <c r="D90" s="706" t="s">
        <v>254</v>
      </c>
      <c r="E90" s="707" t="s">
        <v>254</v>
      </c>
      <c r="F90" s="1008"/>
      <c r="G90" s="704" t="s">
        <v>694</v>
      </c>
      <c r="H90" s="705">
        <v>395</v>
      </c>
      <c r="I90" s="706">
        <v>0.25</v>
      </c>
      <c r="J90" s="707">
        <v>-0.25</v>
      </c>
      <c r="K90" s="1008"/>
      <c r="L90" s="704" t="s">
        <v>562</v>
      </c>
      <c r="M90" s="705">
        <v>379</v>
      </c>
      <c r="N90" s="706">
        <v>0</v>
      </c>
      <c r="O90" s="707">
        <v>-0.2</v>
      </c>
      <c r="P90" s="692"/>
      <c r="Q90" s="173"/>
      <c r="R90" s="173"/>
      <c r="S90" s="173"/>
      <c r="T90" s="173"/>
      <c r="U90" s="173"/>
      <c r="V90" s="173"/>
      <c r="W90" s="173"/>
      <c r="X90" s="10"/>
      <c r="Y90" s="173"/>
      <c r="Z90" s="173"/>
      <c r="AA90" s="173"/>
      <c r="AB90" s="173"/>
      <c r="AC90" s="10"/>
      <c r="AD90" s="173"/>
      <c r="AE90" s="173"/>
      <c r="AF90" s="173"/>
      <c r="AG90" s="173"/>
      <c r="AH90" s="10"/>
      <c r="AI90" s="173"/>
      <c r="AJ90" s="173"/>
      <c r="AK90" s="173"/>
      <c r="AL90" s="173"/>
      <c r="AM90" s="173"/>
      <c r="AN90" s="173"/>
      <c r="AO90" s="173"/>
      <c r="AP90" s="173"/>
    </row>
    <row r="91" spans="1:42" ht="12.75" customHeight="1">
      <c r="A91" s="1001">
        <v>11</v>
      </c>
      <c r="B91" s="715" t="s">
        <v>695</v>
      </c>
      <c r="C91" s="716">
        <v>303</v>
      </c>
      <c r="D91" s="717">
        <v>0.45</v>
      </c>
      <c r="E91" s="718">
        <v>-0.45</v>
      </c>
      <c r="F91" s="1007">
        <v>11</v>
      </c>
      <c r="G91" s="715" t="s">
        <v>696</v>
      </c>
      <c r="H91" s="716">
        <v>379</v>
      </c>
      <c r="I91" s="717">
        <v>0.3</v>
      </c>
      <c r="J91" s="718">
        <v>-0.4</v>
      </c>
      <c r="K91" s="1007">
        <v>11</v>
      </c>
      <c r="L91" s="715" t="s">
        <v>565</v>
      </c>
      <c r="M91" s="716">
        <v>320</v>
      </c>
      <c r="N91" s="717">
        <v>0.3</v>
      </c>
      <c r="O91" s="718">
        <v>-0.3</v>
      </c>
      <c r="P91" s="692"/>
      <c r="Q91" s="173"/>
      <c r="R91" s="173"/>
      <c r="S91" s="173"/>
      <c r="T91" s="173"/>
      <c r="U91" s="173"/>
      <c r="V91" s="173"/>
      <c r="W91" s="173"/>
      <c r="X91" s="10"/>
      <c r="Y91" s="173"/>
      <c r="Z91" s="173"/>
      <c r="AA91" s="173"/>
      <c r="AB91" s="173"/>
      <c r="AC91" s="10"/>
      <c r="AD91" s="173"/>
      <c r="AE91" s="173"/>
      <c r="AF91" s="173"/>
      <c r="AG91" s="173"/>
      <c r="AH91" s="10"/>
      <c r="AI91" s="173"/>
      <c r="AJ91" s="173"/>
      <c r="AK91" s="173"/>
      <c r="AL91" s="173"/>
      <c r="AM91" s="173"/>
      <c r="AN91" s="173"/>
      <c r="AO91" s="173"/>
      <c r="AP91" s="173"/>
    </row>
    <row r="92" spans="1:42" ht="12.75" customHeight="1">
      <c r="A92" s="1002"/>
      <c r="B92" s="700" t="s">
        <v>697</v>
      </c>
      <c r="C92" s="701">
        <v>310</v>
      </c>
      <c r="D92" s="702">
        <v>0.35</v>
      </c>
      <c r="E92" s="703">
        <v>-0.35</v>
      </c>
      <c r="F92" s="1007"/>
      <c r="G92" s="700" t="s">
        <v>698</v>
      </c>
      <c r="H92" s="701">
        <v>388</v>
      </c>
      <c r="I92" s="702">
        <v>0.3</v>
      </c>
      <c r="J92" s="703">
        <v>-0.3</v>
      </c>
      <c r="K92" s="1007"/>
      <c r="L92" s="700" t="s">
        <v>568</v>
      </c>
      <c r="M92" s="701">
        <v>324</v>
      </c>
      <c r="N92" s="702">
        <v>0.1</v>
      </c>
      <c r="O92" s="703">
        <v>0</v>
      </c>
      <c r="P92" s="692"/>
      <c r="Q92" s="173"/>
      <c r="R92" s="173"/>
      <c r="S92" s="173"/>
      <c r="T92" s="173"/>
      <c r="U92" s="173"/>
      <c r="V92" s="173"/>
      <c r="W92" s="173"/>
      <c r="X92" s="10"/>
      <c r="Y92" s="173"/>
      <c r="Z92" s="173"/>
      <c r="AA92" s="173"/>
      <c r="AB92" s="173"/>
      <c r="AC92" s="10"/>
      <c r="AD92" s="173"/>
      <c r="AE92" s="173"/>
      <c r="AF92" s="173"/>
      <c r="AG92" s="173"/>
      <c r="AH92" s="10"/>
      <c r="AI92" s="173"/>
      <c r="AJ92" s="173"/>
      <c r="AK92" s="173"/>
      <c r="AL92" s="173"/>
      <c r="AM92" s="173"/>
      <c r="AN92" s="173"/>
      <c r="AO92" s="173"/>
      <c r="AP92" s="173"/>
    </row>
    <row r="93" spans="1:42" ht="12.75" customHeight="1" thickBot="1">
      <c r="A93" s="1003"/>
      <c r="B93" s="708" t="s">
        <v>699</v>
      </c>
      <c r="C93" s="709" t="s">
        <v>134</v>
      </c>
      <c r="D93" s="710" t="s">
        <v>254</v>
      </c>
      <c r="E93" s="711" t="s">
        <v>254</v>
      </c>
      <c r="F93" s="1007"/>
      <c r="G93" s="708" t="s">
        <v>700</v>
      </c>
      <c r="H93" s="709">
        <v>395</v>
      </c>
      <c r="I93" s="710">
        <v>0.3</v>
      </c>
      <c r="J93" s="711">
        <v>-0.3</v>
      </c>
      <c r="K93" s="1007"/>
      <c r="L93" s="708" t="s">
        <v>571</v>
      </c>
      <c r="M93" s="709">
        <v>345</v>
      </c>
      <c r="N93" s="710">
        <v>0.2</v>
      </c>
      <c r="O93" s="711">
        <v>-0.2</v>
      </c>
      <c r="P93" s="692"/>
      <c r="Q93" s="173"/>
      <c r="R93" s="173"/>
      <c r="S93" s="173"/>
      <c r="T93" s="173"/>
      <c r="U93" s="173"/>
      <c r="V93" s="173"/>
      <c r="W93" s="173"/>
      <c r="X93" s="10"/>
      <c r="Y93" s="173"/>
      <c r="Z93" s="173"/>
      <c r="AA93" s="173"/>
      <c r="AB93" s="173"/>
      <c r="AC93" s="10"/>
      <c r="AD93" s="173"/>
      <c r="AE93" s="173"/>
      <c r="AF93" s="173"/>
      <c r="AG93" s="173"/>
      <c r="AH93" s="10"/>
      <c r="AI93" s="173"/>
      <c r="AJ93" s="173"/>
      <c r="AK93" s="173"/>
      <c r="AL93" s="173"/>
      <c r="AM93" s="173"/>
      <c r="AN93" s="173"/>
      <c r="AO93" s="173"/>
      <c r="AP93" s="173"/>
    </row>
    <row r="94" spans="1:42" ht="12.75" customHeight="1">
      <c r="A94" s="1001">
        <v>12</v>
      </c>
      <c r="B94" s="695" t="s">
        <v>701</v>
      </c>
      <c r="C94" s="696">
        <v>395</v>
      </c>
      <c r="D94" s="697" t="s">
        <v>254</v>
      </c>
      <c r="E94" s="698" t="s">
        <v>254</v>
      </c>
      <c r="F94" s="1006">
        <v>12</v>
      </c>
      <c r="G94" s="695" t="s">
        <v>702</v>
      </c>
      <c r="H94" s="696">
        <v>235</v>
      </c>
      <c r="I94" s="697">
        <v>0.3</v>
      </c>
      <c r="J94" s="698">
        <v>-0.3</v>
      </c>
      <c r="K94" s="1006">
        <v>12</v>
      </c>
      <c r="L94" s="695" t="s">
        <v>574</v>
      </c>
      <c r="M94" s="696">
        <v>382</v>
      </c>
      <c r="N94" s="697" t="s">
        <v>254</v>
      </c>
      <c r="O94" s="698" t="s">
        <v>254</v>
      </c>
      <c r="P94" s="692"/>
      <c r="Q94" s="173"/>
      <c r="R94" s="173"/>
      <c r="S94" s="173"/>
      <c r="T94" s="173"/>
      <c r="U94" s="173"/>
      <c r="V94" s="173"/>
      <c r="W94" s="173"/>
      <c r="X94" s="10"/>
      <c r="Y94" s="173"/>
      <c r="Z94" s="173"/>
      <c r="AA94" s="173"/>
      <c r="AB94" s="173"/>
      <c r="AC94" s="10"/>
      <c r="AD94" s="173"/>
      <c r="AE94" s="173"/>
      <c r="AF94" s="173"/>
      <c r="AG94" s="173"/>
      <c r="AH94" s="10"/>
      <c r="AI94" s="173"/>
      <c r="AJ94" s="173"/>
      <c r="AK94" s="173"/>
      <c r="AL94" s="173"/>
      <c r="AM94" s="173"/>
      <c r="AN94" s="173"/>
      <c r="AO94" s="173"/>
      <c r="AP94" s="173"/>
    </row>
    <row r="95" spans="1:42" ht="12.75" customHeight="1">
      <c r="A95" s="1002"/>
      <c r="B95" s="700" t="s">
        <v>703</v>
      </c>
      <c r="C95" s="701">
        <v>402</v>
      </c>
      <c r="D95" s="702" t="s">
        <v>254</v>
      </c>
      <c r="E95" s="703" t="s">
        <v>254</v>
      </c>
      <c r="F95" s="1007"/>
      <c r="G95" s="700" t="s">
        <v>704</v>
      </c>
      <c r="H95" s="701">
        <v>241</v>
      </c>
      <c r="I95" s="702">
        <v>0.6</v>
      </c>
      <c r="J95" s="703">
        <v>-0.6</v>
      </c>
      <c r="K95" s="1007"/>
      <c r="L95" s="700" t="s">
        <v>577</v>
      </c>
      <c r="M95" s="701">
        <v>432</v>
      </c>
      <c r="N95" s="702">
        <v>0.25</v>
      </c>
      <c r="O95" s="703">
        <v>-0.25</v>
      </c>
      <c r="P95" s="692"/>
      <c r="Q95" s="173"/>
      <c r="R95" s="173"/>
      <c r="S95" s="173"/>
      <c r="T95" s="173"/>
      <c r="U95" s="173"/>
      <c r="V95" s="173"/>
      <c r="W95" s="173"/>
      <c r="X95" s="10"/>
      <c r="Y95" s="173"/>
      <c r="Z95" s="173"/>
      <c r="AA95" s="173"/>
      <c r="AB95" s="173"/>
      <c r="AC95" s="10"/>
      <c r="AD95" s="173"/>
      <c r="AE95" s="173"/>
      <c r="AF95" s="173"/>
      <c r="AG95" s="173"/>
      <c r="AH95" s="10"/>
      <c r="AI95" s="173"/>
      <c r="AJ95" s="173"/>
      <c r="AK95" s="173"/>
      <c r="AL95" s="173"/>
      <c r="AM95" s="173"/>
      <c r="AN95" s="173"/>
      <c r="AO95" s="173"/>
      <c r="AP95" s="173"/>
    </row>
    <row r="96" spans="1:42" ht="12.75" customHeight="1" thickBot="1">
      <c r="A96" s="1003"/>
      <c r="B96" s="704" t="s">
        <v>705</v>
      </c>
      <c r="C96" s="705">
        <v>403</v>
      </c>
      <c r="D96" s="706" t="s">
        <v>254</v>
      </c>
      <c r="E96" s="707" t="s">
        <v>254</v>
      </c>
      <c r="F96" s="1008"/>
      <c r="G96" s="704" t="s">
        <v>706</v>
      </c>
      <c r="H96" s="705">
        <v>244</v>
      </c>
      <c r="I96" s="706">
        <v>0.15</v>
      </c>
      <c r="J96" s="707">
        <v>-0.15</v>
      </c>
      <c r="K96" s="1008"/>
      <c r="L96" s="704" t="s">
        <v>580</v>
      </c>
      <c r="M96" s="705">
        <v>433</v>
      </c>
      <c r="N96" s="706">
        <v>-0.2</v>
      </c>
      <c r="O96" s="707">
        <v>0.25</v>
      </c>
      <c r="P96" s="692"/>
      <c r="Q96" s="173"/>
      <c r="R96" s="173"/>
      <c r="S96" s="173"/>
      <c r="T96" s="173"/>
      <c r="U96" s="173"/>
      <c r="V96" s="173"/>
      <c r="W96" s="173"/>
      <c r="X96" s="10"/>
      <c r="Y96" s="173"/>
      <c r="Z96" s="173"/>
      <c r="AA96" s="173"/>
      <c r="AB96" s="173"/>
      <c r="AC96" s="10"/>
      <c r="AD96" s="173"/>
      <c r="AE96" s="173"/>
      <c r="AF96" s="173"/>
      <c r="AG96" s="173"/>
      <c r="AH96" s="10"/>
      <c r="AI96" s="173"/>
      <c r="AJ96" s="173"/>
      <c r="AK96" s="173"/>
      <c r="AL96" s="173"/>
      <c r="AM96" s="173"/>
      <c r="AN96" s="173"/>
      <c r="AO96" s="173"/>
      <c r="AP96" s="173"/>
    </row>
    <row r="97" spans="1:42" ht="12.75" customHeight="1">
      <c r="A97" s="1001">
        <v>13</v>
      </c>
      <c r="B97" s="715" t="s">
        <v>707</v>
      </c>
      <c r="C97" s="716">
        <v>385</v>
      </c>
      <c r="D97" s="717" t="s">
        <v>254</v>
      </c>
      <c r="E97" s="718" t="s">
        <v>254</v>
      </c>
      <c r="F97" s="1007">
        <v>13</v>
      </c>
      <c r="G97" s="715" t="s">
        <v>708</v>
      </c>
      <c r="H97" s="716">
        <v>496</v>
      </c>
      <c r="I97" s="717">
        <v>0</v>
      </c>
      <c r="J97" s="718">
        <v>0</v>
      </c>
      <c r="K97" s="1007">
        <v>13</v>
      </c>
      <c r="L97" s="715" t="s">
        <v>583</v>
      </c>
      <c r="M97" s="716">
        <v>471</v>
      </c>
      <c r="N97" s="717" t="s">
        <v>254</v>
      </c>
      <c r="O97" s="718" t="s">
        <v>254</v>
      </c>
      <c r="P97" s="692"/>
      <c r="Q97" s="173"/>
      <c r="R97" s="173"/>
      <c r="S97" s="173"/>
      <c r="T97" s="173"/>
      <c r="U97" s="173"/>
      <c r="V97" s="173"/>
      <c r="W97" s="173"/>
      <c r="X97" s="10"/>
      <c r="Y97" s="173"/>
      <c r="Z97" s="173"/>
      <c r="AA97" s="173"/>
      <c r="AB97" s="173"/>
      <c r="AC97" s="10"/>
      <c r="AD97" s="173"/>
      <c r="AE97" s="173"/>
      <c r="AF97" s="173"/>
      <c r="AG97" s="173"/>
      <c r="AH97" s="10"/>
      <c r="AI97" s="173"/>
      <c r="AJ97" s="173"/>
      <c r="AK97" s="173"/>
      <c r="AL97" s="173"/>
      <c r="AM97" s="173"/>
      <c r="AN97" s="173"/>
      <c r="AO97" s="173"/>
      <c r="AP97" s="173"/>
    </row>
    <row r="98" spans="1:42" ht="12.75" customHeight="1">
      <c r="A98" s="1002"/>
      <c r="B98" s="700" t="s">
        <v>709</v>
      </c>
      <c r="C98" s="701">
        <v>390</v>
      </c>
      <c r="D98" s="702">
        <v>0.7</v>
      </c>
      <c r="E98" s="703">
        <v>-0.65</v>
      </c>
      <c r="F98" s="1007"/>
      <c r="G98" s="700" t="s">
        <v>710</v>
      </c>
      <c r="H98" s="701">
        <v>504</v>
      </c>
      <c r="I98" s="702">
        <v>0</v>
      </c>
      <c r="J98" s="703">
        <v>0</v>
      </c>
      <c r="K98" s="1007"/>
      <c r="L98" s="700" t="s">
        <v>586</v>
      </c>
      <c r="M98" s="701">
        <v>482</v>
      </c>
      <c r="N98" s="702" t="s">
        <v>254</v>
      </c>
      <c r="O98" s="703" t="s">
        <v>254</v>
      </c>
      <c r="P98" s="692"/>
      <c r="Q98" s="173"/>
      <c r="R98" s="173"/>
      <c r="S98" s="173"/>
      <c r="T98" s="173"/>
      <c r="U98" s="173"/>
      <c r="V98" s="173"/>
      <c r="W98" s="173"/>
      <c r="X98" s="10"/>
      <c r="Y98" s="173"/>
      <c r="Z98" s="173"/>
      <c r="AA98" s="173"/>
      <c r="AB98" s="173"/>
      <c r="AC98" s="10"/>
      <c r="AD98" s="173"/>
      <c r="AE98" s="173"/>
      <c r="AF98" s="173"/>
      <c r="AG98" s="173"/>
      <c r="AH98" s="10"/>
      <c r="AI98" s="173"/>
      <c r="AJ98" s="173"/>
      <c r="AK98" s="173"/>
      <c r="AL98" s="173"/>
      <c r="AM98" s="173"/>
      <c r="AN98" s="173"/>
      <c r="AO98" s="173"/>
      <c r="AP98" s="173"/>
    </row>
    <row r="99" spans="1:42" ht="12.75" customHeight="1" thickBot="1">
      <c r="A99" s="1003"/>
      <c r="B99" s="708" t="s">
        <v>711</v>
      </c>
      <c r="C99" s="709">
        <v>395</v>
      </c>
      <c r="D99" s="710" t="s">
        <v>254</v>
      </c>
      <c r="E99" s="711">
        <v>-30</v>
      </c>
      <c r="F99" s="1007"/>
      <c r="G99" s="708" t="s">
        <v>712</v>
      </c>
      <c r="H99" s="709">
        <v>508</v>
      </c>
      <c r="I99" s="710">
        <v>0</v>
      </c>
      <c r="J99" s="711">
        <v>0</v>
      </c>
      <c r="K99" s="1007"/>
      <c r="L99" s="708" t="s">
        <v>589</v>
      </c>
      <c r="M99" s="709">
        <v>492</v>
      </c>
      <c r="N99" s="710" t="s">
        <v>254</v>
      </c>
      <c r="O99" s="711" t="s">
        <v>254</v>
      </c>
      <c r="P99" s="692"/>
      <c r="Q99" s="173"/>
      <c r="R99" s="173"/>
      <c r="S99" s="173"/>
      <c r="T99" s="173"/>
      <c r="U99" s="173"/>
      <c r="V99" s="173"/>
      <c r="W99" s="173"/>
      <c r="X99" s="10"/>
      <c r="Y99" s="173"/>
      <c r="Z99" s="173"/>
      <c r="AA99" s="173"/>
      <c r="AB99" s="173"/>
      <c r="AC99" s="10"/>
      <c r="AD99" s="173"/>
      <c r="AE99" s="173"/>
      <c r="AF99" s="173"/>
      <c r="AG99" s="173"/>
      <c r="AH99" s="10"/>
      <c r="AI99" s="173"/>
      <c r="AJ99" s="173"/>
      <c r="AK99" s="173"/>
      <c r="AL99" s="173"/>
      <c r="AM99" s="173"/>
      <c r="AN99" s="173"/>
      <c r="AO99" s="173"/>
      <c r="AP99" s="173"/>
    </row>
    <row r="100" spans="1:42" ht="12.75" customHeight="1">
      <c r="A100" s="1001">
        <v>14</v>
      </c>
      <c r="B100" s="695" t="s">
        <v>713</v>
      </c>
      <c r="C100" s="696">
        <v>230</v>
      </c>
      <c r="D100" s="697">
        <v>-0.2</v>
      </c>
      <c r="E100" s="698">
        <v>0.25</v>
      </c>
      <c r="F100" s="1006">
        <v>14</v>
      </c>
      <c r="G100" s="695" t="s">
        <v>714</v>
      </c>
      <c r="H100" s="696">
        <v>404</v>
      </c>
      <c r="I100" s="697">
        <v>0.15</v>
      </c>
      <c r="J100" s="698">
        <v>-0.2</v>
      </c>
      <c r="K100" s="1006">
        <v>14</v>
      </c>
      <c r="L100" s="695" t="s">
        <v>592</v>
      </c>
      <c r="M100" s="696">
        <v>199</v>
      </c>
      <c r="N100" s="697">
        <v>0.15</v>
      </c>
      <c r="O100" s="698">
        <v>-0.1</v>
      </c>
      <c r="P100" s="692"/>
      <c r="Q100" s="173"/>
      <c r="R100" s="173"/>
      <c r="S100" s="173"/>
      <c r="T100" s="173"/>
      <c r="U100" s="173"/>
      <c r="V100" s="173"/>
      <c r="W100" s="173"/>
      <c r="X100" s="10"/>
      <c r="Y100" s="173"/>
      <c r="Z100" s="173"/>
      <c r="AA100" s="173"/>
      <c r="AB100" s="173"/>
      <c r="AC100" s="10"/>
      <c r="AD100" s="173"/>
      <c r="AE100" s="173"/>
      <c r="AF100" s="173"/>
      <c r="AG100" s="173"/>
      <c r="AH100" s="10"/>
      <c r="AI100" s="173"/>
      <c r="AJ100" s="173"/>
      <c r="AK100" s="173"/>
      <c r="AL100" s="173"/>
      <c r="AM100" s="173"/>
      <c r="AN100" s="173"/>
      <c r="AO100" s="173"/>
      <c r="AP100" s="173"/>
    </row>
    <row r="101" spans="1:42" ht="12.75" customHeight="1">
      <c r="A101" s="1002"/>
      <c r="B101" s="700" t="s">
        <v>715</v>
      </c>
      <c r="C101" s="701">
        <v>238</v>
      </c>
      <c r="D101" s="702">
        <v>-0.1</v>
      </c>
      <c r="E101" s="703">
        <v>0.1</v>
      </c>
      <c r="F101" s="1007"/>
      <c r="G101" s="700" t="s">
        <v>716</v>
      </c>
      <c r="H101" s="701">
        <v>412</v>
      </c>
      <c r="I101" s="702">
        <v>0.15</v>
      </c>
      <c r="J101" s="703">
        <v>-0.2</v>
      </c>
      <c r="K101" s="1007"/>
      <c r="L101" s="700" t="s">
        <v>595</v>
      </c>
      <c r="M101" s="701">
        <v>200</v>
      </c>
      <c r="N101" s="702">
        <v>0</v>
      </c>
      <c r="O101" s="703">
        <v>0</v>
      </c>
      <c r="P101" s="692"/>
      <c r="Q101" s="173"/>
      <c r="R101" s="173"/>
      <c r="S101" s="173"/>
      <c r="T101" s="173"/>
      <c r="U101" s="173"/>
      <c r="V101" s="173"/>
      <c r="W101" s="173"/>
      <c r="X101" s="10"/>
      <c r="Y101" s="173"/>
      <c r="Z101" s="173"/>
      <c r="AA101" s="173"/>
      <c r="AB101" s="173"/>
      <c r="AC101" s="10"/>
      <c r="AD101" s="173"/>
      <c r="AE101" s="173"/>
      <c r="AF101" s="173"/>
      <c r="AG101" s="173"/>
      <c r="AH101" s="10"/>
      <c r="AI101" s="173"/>
      <c r="AJ101" s="173"/>
      <c r="AK101" s="173"/>
      <c r="AL101" s="173"/>
      <c r="AM101" s="173"/>
      <c r="AN101" s="173"/>
      <c r="AO101" s="173"/>
      <c r="AP101" s="173"/>
    </row>
    <row r="102" spans="1:42" ht="12.75" customHeight="1" thickBot="1">
      <c r="A102" s="1003"/>
      <c r="B102" s="704" t="s">
        <v>717</v>
      </c>
      <c r="C102" s="705">
        <v>241</v>
      </c>
      <c r="D102" s="706">
        <v>-7.4999999999999997E-2</v>
      </c>
      <c r="E102" s="707">
        <v>0.1</v>
      </c>
      <c r="F102" s="1008"/>
      <c r="G102" s="704" t="s">
        <v>718</v>
      </c>
      <c r="H102" s="705">
        <v>417</v>
      </c>
      <c r="I102" s="706">
        <v>0.15</v>
      </c>
      <c r="J102" s="707">
        <v>-0.15</v>
      </c>
      <c r="K102" s="1008"/>
      <c r="L102" s="704" t="s">
        <v>598</v>
      </c>
      <c r="M102" s="705">
        <v>206</v>
      </c>
      <c r="N102" s="706">
        <v>0.1</v>
      </c>
      <c r="O102" s="707">
        <v>-0.1</v>
      </c>
      <c r="P102" s="692"/>
      <c r="Q102" s="173"/>
      <c r="R102" s="173"/>
      <c r="S102" s="173"/>
      <c r="T102" s="173"/>
      <c r="U102" s="173"/>
      <c r="V102" s="173"/>
      <c r="W102" s="173"/>
      <c r="X102" s="10"/>
      <c r="Y102" s="173"/>
      <c r="Z102" s="173"/>
      <c r="AA102" s="173"/>
      <c r="AB102" s="173"/>
      <c r="AC102" s="10"/>
      <c r="AD102" s="173"/>
      <c r="AE102" s="173"/>
      <c r="AF102" s="173"/>
      <c r="AG102" s="173"/>
      <c r="AH102" s="10"/>
      <c r="AI102" s="173"/>
      <c r="AJ102" s="173"/>
      <c r="AK102" s="173"/>
      <c r="AL102" s="173"/>
      <c r="AM102" s="173"/>
      <c r="AN102" s="173"/>
      <c r="AO102" s="173"/>
      <c r="AP102" s="173"/>
    </row>
    <row r="103" spans="1:42" ht="12.75" customHeight="1">
      <c r="A103" s="1001">
        <v>15</v>
      </c>
      <c r="B103" s="715" t="s">
        <v>719</v>
      </c>
      <c r="C103" s="716">
        <v>233</v>
      </c>
      <c r="D103" s="717">
        <v>-0.85</v>
      </c>
      <c r="E103" s="718">
        <v>0.9</v>
      </c>
      <c r="F103" s="1007">
        <v>15</v>
      </c>
      <c r="G103" s="715" t="s">
        <v>720</v>
      </c>
      <c r="H103" s="716">
        <v>363</v>
      </c>
      <c r="I103" s="717">
        <v>0</v>
      </c>
      <c r="J103" s="718">
        <v>0</v>
      </c>
      <c r="K103" s="1007">
        <v>15</v>
      </c>
      <c r="L103" s="715" t="s">
        <v>601</v>
      </c>
      <c r="M103" s="716">
        <v>452</v>
      </c>
      <c r="N103" s="717">
        <v>-0.5</v>
      </c>
      <c r="O103" s="718" t="s">
        <v>254</v>
      </c>
      <c r="P103" s="692"/>
      <c r="Q103" s="173"/>
      <c r="R103" s="173"/>
      <c r="S103" s="173"/>
      <c r="T103" s="173"/>
      <c r="U103" s="173"/>
      <c r="V103" s="173"/>
      <c r="W103" s="173"/>
      <c r="X103" s="10"/>
      <c r="Y103" s="173"/>
      <c r="Z103" s="173"/>
      <c r="AA103" s="173"/>
      <c r="AB103" s="173"/>
      <c r="AC103" s="10"/>
      <c r="AD103" s="173"/>
      <c r="AE103" s="173"/>
      <c r="AF103" s="173"/>
      <c r="AG103" s="173"/>
      <c r="AH103" s="10"/>
      <c r="AI103" s="173"/>
      <c r="AJ103" s="173"/>
      <c r="AK103" s="173"/>
      <c r="AL103" s="173"/>
      <c r="AM103" s="173"/>
      <c r="AN103" s="173"/>
      <c r="AO103" s="173"/>
      <c r="AP103" s="173"/>
    </row>
    <row r="104" spans="1:42" ht="12.75" customHeight="1">
      <c r="A104" s="1002"/>
      <c r="B104" s="700" t="s">
        <v>721</v>
      </c>
      <c r="C104" s="701">
        <v>237</v>
      </c>
      <c r="D104" s="702">
        <v>0</v>
      </c>
      <c r="E104" s="703">
        <v>0</v>
      </c>
      <c r="F104" s="1007"/>
      <c r="G104" s="700" t="s">
        <v>722</v>
      </c>
      <c r="H104" s="701">
        <v>371</v>
      </c>
      <c r="I104" s="702">
        <v>0</v>
      </c>
      <c r="J104" s="703">
        <v>0</v>
      </c>
      <c r="K104" s="1007"/>
      <c r="L104" s="700" t="s">
        <v>604</v>
      </c>
      <c r="M104" s="701">
        <v>462</v>
      </c>
      <c r="N104" s="702" t="s">
        <v>254</v>
      </c>
      <c r="O104" s="703" t="s">
        <v>254</v>
      </c>
      <c r="P104" s="692"/>
      <c r="Q104" s="173"/>
      <c r="R104" s="173"/>
      <c r="S104" s="173"/>
      <c r="T104" s="173"/>
      <c r="U104" s="173"/>
      <c r="V104" s="173"/>
      <c r="W104" s="173"/>
      <c r="X104" s="10"/>
      <c r="Y104" s="173"/>
      <c r="Z104" s="173"/>
      <c r="AA104" s="173"/>
      <c r="AB104" s="173"/>
      <c r="AC104" s="10"/>
      <c r="AD104" s="173"/>
      <c r="AE104" s="173"/>
      <c r="AF104" s="173"/>
      <c r="AG104" s="173"/>
      <c r="AH104" s="10"/>
      <c r="AI104" s="173"/>
      <c r="AJ104" s="173"/>
      <c r="AK104" s="173"/>
      <c r="AL104" s="173"/>
      <c r="AM104" s="173"/>
      <c r="AN104" s="173"/>
      <c r="AO104" s="173"/>
      <c r="AP104" s="173"/>
    </row>
    <row r="105" spans="1:42" ht="12.75" customHeight="1" thickBot="1">
      <c r="A105" s="1003"/>
      <c r="B105" s="708" t="s">
        <v>723</v>
      </c>
      <c r="C105" s="709">
        <v>239</v>
      </c>
      <c r="D105" s="710">
        <v>-0.55000000000000004</v>
      </c>
      <c r="E105" s="711">
        <v>0.7</v>
      </c>
      <c r="F105" s="1007"/>
      <c r="G105" s="708" t="s">
        <v>724</v>
      </c>
      <c r="H105" s="709">
        <v>375</v>
      </c>
      <c r="I105" s="710">
        <v>0</v>
      </c>
      <c r="J105" s="711">
        <v>0</v>
      </c>
      <c r="K105" s="1007"/>
      <c r="L105" s="708" t="s">
        <v>607</v>
      </c>
      <c r="M105" s="709">
        <v>468</v>
      </c>
      <c r="N105" s="710" t="s">
        <v>254</v>
      </c>
      <c r="O105" s="711" t="s">
        <v>254</v>
      </c>
      <c r="P105" s="692"/>
      <c r="Q105" s="173"/>
      <c r="R105" s="173"/>
      <c r="S105" s="173"/>
      <c r="T105" s="173"/>
      <c r="U105" s="173"/>
      <c r="V105" s="173"/>
      <c r="W105" s="173"/>
      <c r="X105" s="10"/>
      <c r="Y105" s="173"/>
      <c r="Z105" s="173"/>
      <c r="AA105" s="173"/>
      <c r="AB105" s="173"/>
      <c r="AC105" s="10"/>
      <c r="AD105" s="173"/>
      <c r="AE105" s="173"/>
      <c r="AF105" s="173"/>
      <c r="AG105" s="173"/>
      <c r="AH105" s="10"/>
      <c r="AI105" s="173"/>
      <c r="AJ105" s="173"/>
      <c r="AK105" s="173"/>
      <c r="AL105" s="173"/>
      <c r="AM105" s="173"/>
      <c r="AN105" s="173"/>
      <c r="AO105" s="173"/>
      <c r="AP105" s="173"/>
    </row>
    <row r="106" spans="1:42" ht="12.75" customHeight="1">
      <c r="A106" s="1001">
        <v>16</v>
      </c>
      <c r="B106" s="695" t="s">
        <v>725</v>
      </c>
      <c r="C106" s="696">
        <v>349</v>
      </c>
      <c r="D106" s="697">
        <v>-0.7</v>
      </c>
      <c r="E106" s="698">
        <v>0.65</v>
      </c>
      <c r="F106" s="1006">
        <v>16</v>
      </c>
      <c r="G106" s="695" t="s">
        <v>726</v>
      </c>
      <c r="H106" s="696">
        <v>228</v>
      </c>
      <c r="I106" s="697">
        <v>0.3</v>
      </c>
      <c r="J106" s="698">
        <v>-0.1</v>
      </c>
      <c r="K106" s="1006">
        <v>16</v>
      </c>
      <c r="L106" s="695" t="s">
        <v>610</v>
      </c>
      <c r="M106" s="696">
        <v>209</v>
      </c>
      <c r="N106" s="697">
        <v>0</v>
      </c>
      <c r="O106" s="698">
        <v>0</v>
      </c>
      <c r="P106" s="692"/>
      <c r="Q106" s="173"/>
      <c r="R106" s="173"/>
      <c r="S106" s="173"/>
      <c r="T106" s="173"/>
      <c r="U106" s="173"/>
      <c r="V106" s="173"/>
      <c r="W106" s="173"/>
      <c r="X106" s="10"/>
      <c r="Y106" s="173"/>
      <c r="Z106" s="173"/>
      <c r="AA106" s="173"/>
      <c r="AB106" s="173"/>
      <c r="AC106" s="10"/>
      <c r="AD106" s="173"/>
      <c r="AE106" s="173"/>
      <c r="AF106" s="173"/>
      <c r="AG106" s="173"/>
      <c r="AH106" s="10"/>
      <c r="AI106" s="173"/>
      <c r="AJ106" s="173"/>
      <c r="AK106" s="173"/>
      <c r="AL106" s="173"/>
      <c r="AM106" s="173"/>
      <c r="AN106" s="173"/>
      <c r="AO106" s="173"/>
      <c r="AP106" s="173"/>
    </row>
    <row r="107" spans="1:42" ht="12.75" customHeight="1">
      <c r="A107" s="1002"/>
      <c r="B107" s="700" t="s">
        <v>727</v>
      </c>
      <c r="C107" s="701">
        <v>352</v>
      </c>
      <c r="D107" s="702">
        <v>0.3</v>
      </c>
      <c r="E107" s="703">
        <v>-0.25</v>
      </c>
      <c r="F107" s="1007"/>
      <c r="G107" s="700" t="s">
        <v>728</v>
      </c>
      <c r="H107" s="701">
        <v>237</v>
      </c>
      <c r="I107" s="702">
        <v>0.3</v>
      </c>
      <c r="J107" s="703">
        <v>-0.2</v>
      </c>
      <c r="K107" s="1007"/>
      <c r="L107" s="700" t="s">
        <v>613</v>
      </c>
      <c r="M107" s="701">
        <v>219</v>
      </c>
      <c r="N107" s="702">
        <v>0.3</v>
      </c>
      <c r="O107" s="703">
        <v>-0.3</v>
      </c>
      <c r="P107" s="692"/>
      <c r="Q107" s="173"/>
      <c r="R107" s="173"/>
      <c r="S107" s="173"/>
      <c r="T107" s="173"/>
      <c r="U107" s="173"/>
      <c r="V107" s="173"/>
      <c r="W107" s="173"/>
      <c r="X107" s="10"/>
      <c r="Y107" s="173"/>
      <c r="Z107" s="173"/>
      <c r="AA107" s="173"/>
      <c r="AB107" s="173"/>
      <c r="AC107" s="10"/>
      <c r="AD107" s="173"/>
      <c r="AE107" s="173"/>
      <c r="AF107" s="173"/>
      <c r="AG107" s="173"/>
      <c r="AH107" s="10"/>
      <c r="AI107" s="173"/>
      <c r="AJ107" s="173"/>
      <c r="AK107" s="173"/>
      <c r="AL107" s="173"/>
      <c r="AM107" s="173"/>
      <c r="AN107" s="173"/>
      <c r="AO107" s="173"/>
      <c r="AP107" s="173"/>
    </row>
    <row r="108" spans="1:42" ht="12.75" customHeight="1" thickBot="1">
      <c r="A108" s="1003"/>
      <c r="B108" s="704" t="s">
        <v>729</v>
      </c>
      <c r="C108" s="705">
        <v>254</v>
      </c>
      <c r="D108" s="706">
        <v>-0.55000000000000004</v>
      </c>
      <c r="E108" s="707">
        <v>0.7</v>
      </c>
      <c r="F108" s="1008"/>
      <c r="G108" s="704" t="s">
        <v>730</v>
      </c>
      <c r="H108" s="705">
        <v>237</v>
      </c>
      <c r="I108" s="706">
        <v>0.1</v>
      </c>
      <c r="J108" s="707">
        <v>0</v>
      </c>
      <c r="K108" s="1008"/>
      <c r="L108" s="704" t="s">
        <v>616</v>
      </c>
      <c r="M108" s="705">
        <v>235</v>
      </c>
      <c r="N108" s="706">
        <v>0</v>
      </c>
      <c r="O108" s="707">
        <v>0</v>
      </c>
      <c r="P108" s="692"/>
      <c r="Q108" s="173"/>
      <c r="R108" s="173"/>
      <c r="S108" s="173"/>
      <c r="T108" s="173"/>
      <c r="U108" s="173"/>
      <c r="V108" s="173"/>
      <c r="W108" s="173"/>
      <c r="X108" s="10"/>
      <c r="Y108" s="173"/>
      <c r="Z108" s="173"/>
      <c r="AA108" s="173"/>
      <c r="AB108" s="173"/>
      <c r="AC108" s="10"/>
      <c r="AD108" s="173"/>
      <c r="AE108" s="173"/>
      <c r="AF108" s="173"/>
      <c r="AG108" s="173"/>
      <c r="AH108" s="10"/>
      <c r="AI108" s="173"/>
      <c r="AJ108" s="173"/>
      <c r="AK108" s="173"/>
      <c r="AL108" s="173"/>
      <c r="AM108" s="173"/>
      <c r="AN108" s="173"/>
      <c r="AO108" s="173"/>
      <c r="AP108" s="173"/>
    </row>
    <row r="109" spans="1:42" ht="12.75" customHeight="1">
      <c r="A109" s="1001">
        <v>17</v>
      </c>
      <c r="B109" s="715" t="s">
        <v>731</v>
      </c>
      <c r="C109" s="716">
        <v>318</v>
      </c>
      <c r="D109" s="717" t="s">
        <v>254</v>
      </c>
      <c r="E109" s="718" t="s">
        <v>254</v>
      </c>
      <c r="F109" s="1007">
        <v>17</v>
      </c>
      <c r="G109" s="715" t="s">
        <v>732</v>
      </c>
      <c r="H109" s="716">
        <v>396</v>
      </c>
      <c r="I109" s="717">
        <v>0.65</v>
      </c>
      <c r="J109" s="718">
        <v>-0.55000000000000004</v>
      </c>
      <c r="K109" s="1007">
        <v>17</v>
      </c>
      <c r="L109" s="715" t="s">
        <v>619</v>
      </c>
      <c r="M109" s="716">
        <v>438</v>
      </c>
      <c r="N109" s="717">
        <v>0.5</v>
      </c>
      <c r="O109" s="718">
        <v>-0.5</v>
      </c>
      <c r="P109" s="692"/>
      <c r="Q109" s="173"/>
      <c r="R109" s="173"/>
      <c r="S109" s="173"/>
      <c r="T109" s="173"/>
      <c r="U109" s="173"/>
      <c r="V109" s="173"/>
      <c r="W109" s="173"/>
      <c r="X109" s="10"/>
      <c r="Y109" s="173"/>
      <c r="Z109" s="173"/>
      <c r="AA109" s="173"/>
      <c r="AB109" s="173"/>
      <c r="AC109" s="10"/>
      <c r="AD109" s="173"/>
      <c r="AE109" s="173"/>
      <c r="AF109" s="173"/>
      <c r="AG109" s="173"/>
      <c r="AH109" s="10"/>
      <c r="AI109" s="173"/>
      <c r="AJ109" s="173"/>
      <c r="AK109" s="173"/>
      <c r="AL109" s="173"/>
      <c r="AM109" s="173"/>
      <c r="AN109" s="173"/>
      <c r="AO109" s="173"/>
      <c r="AP109" s="173"/>
    </row>
    <row r="110" spans="1:42" ht="12.75" customHeight="1">
      <c r="A110" s="1002"/>
      <c r="B110" s="700" t="s">
        <v>733</v>
      </c>
      <c r="C110" s="701">
        <v>326</v>
      </c>
      <c r="D110" s="702" t="s">
        <v>254</v>
      </c>
      <c r="E110" s="703" t="s">
        <v>254</v>
      </c>
      <c r="F110" s="1007"/>
      <c r="G110" s="700" t="s">
        <v>734</v>
      </c>
      <c r="H110" s="701">
        <v>401</v>
      </c>
      <c r="I110" s="702">
        <v>1.05</v>
      </c>
      <c r="J110" s="703">
        <v>-0.9</v>
      </c>
      <c r="K110" s="1007"/>
      <c r="L110" s="700" t="s">
        <v>622</v>
      </c>
      <c r="M110" s="701">
        <v>451</v>
      </c>
      <c r="N110" s="702">
        <v>-0.3</v>
      </c>
      <c r="O110" s="703">
        <v>0</v>
      </c>
      <c r="P110" s="692"/>
      <c r="Q110" s="173"/>
      <c r="R110" s="173"/>
      <c r="S110" s="173"/>
      <c r="T110" s="173"/>
      <c r="U110" s="173"/>
      <c r="V110" s="173"/>
      <c r="W110" s="173"/>
      <c r="X110" s="10"/>
      <c r="Y110" s="173"/>
      <c r="Z110" s="173"/>
      <c r="AA110" s="173"/>
      <c r="AB110" s="173"/>
      <c r="AC110" s="10"/>
      <c r="AD110" s="173"/>
      <c r="AE110" s="173"/>
      <c r="AF110" s="173"/>
      <c r="AG110" s="173"/>
      <c r="AH110" s="10"/>
      <c r="AI110" s="173"/>
      <c r="AJ110" s="173"/>
      <c r="AK110" s="173"/>
      <c r="AL110" s="173"/>
      <c r="AM110" s="173"/>
      <c r="AN110" s="173"/>
      <c r="AO110" s="173"/>
      <c r="AP110" s="173"/>
    </row>
    <row r="111" spans="1:42" ht="12.75" customHeight="1" thickBot="1">
      <c r="A111" s="1003"/>
      <c r="B111" s="708" t="s">
        <v>735</v>
      </c>
      <c r="C111" s="709" t="s">
        <v>134</v>
      </c>
      <c r="D111" s="710" t="s">
        <v>254</v>
      </c>
      <c r="E111" s="711" t="s">
        <v>254</v>
      </c>
      <c r="F111" s="1007"/>
      <c r="G111" s="708" t="s">
        <v>736</v>
      </c>
      <c r="H111" s="709">
        <v>401</v>
      </c>
      <c r="I111" s="710">
        <v>0.55000000000000004</v>
      </c>
      <c r="J111" s="711">
        <v>-0.45</v>
      </c>
      <c r="K111" s="1007"/>
      <c r="L111" s="708" t="s">
        <v>625</v>
      </c>
      <c r="M111" s="709">
        <v>451</v>
      </c>
      <c r="N111" s="710">
        <v>-0.4</v>
      </c>
      <c r="O111" s="711">
        <v>0.45</v>
      </c>
      <c r="P111" s="692"/>
      <c r="Q111" s="173"/>
      <c r="R111" s="173"/>
      <c r="S111" s="173"/>
      <c r="T111" s="173"/>
      <c r="U111" s="173"/>
      <c r="V111" s="173"/>
      <c r="W111" s="173"/>
      <c r="X111" s="10"/>
      <c r="Y111" s="173"/>
      <c r="Z111" s="173"/>
      <c r="AA111" s="173"/>
      <c r="AB111" s="173"/>
      <c r="AC111" s="10"/>
      <c r="AD111" s="173"/>
      <c r="AE111" s="173"/>
      <c r="AF111" s="173"/>
      <c r="AG111" s="173"/>
      <c r="AH111" s="10"/>
      <c r="AI111" s="173"/>
      <c r="AJ111" s="173"/>
      <c r="AK111" s="173"/>
      <c r="AL111" s="173"/>
      <c r="AM111" s="173"/>
      <c r="AN111" s="173"/>
      <c r="AO111" s="173"/>
      <c r="AP111" s="173"/>
    </row>
    <row r="112" spans="1:42" ht="12.75" customHeight="1">
      <c r="A112" s="1001">
        <v>18</v>
      </c>
      <c r="B112" s="695" t="s">
        <v>737</v>
      </c>
      <c r="C112" s="696">
        <v>435</v>
      </c>
      <c r="D112" s="697">
        <v>-0.85</v>
      </c>
      <c r="E112" s="698">
        <v>0.8</v>
      </c>
      <c r="F112" s="1006">
        <v>18</v>
      </c>
      <c r="G112" s="695" t="s">
        <v>738</v>
      </c>
      <c r="H112" s="696">
        <v>513</v>
      </c>
      <c r="I112" s="697">
        <v>0.2</v>
      </c>
      <c r="J112" s="698">
        <v>-0.2</v>
      </c>
      <c r="K112" s="1006">
        <v>18</v>
      </c>
      <c r="L112" s="695" t="s">
        <v>628</v>
      </c>
      <c r="M112" s="696">
        <v>332</v>
      </c>
      <c r="N112" s="697" t="s">
        <v>254</v>
      </c>
      <c r="O112" s="698" t="s">
        <v>254</v>
      </c>
      <c r="P112" s="692"/>
      <c r="Q112" s="173"/>
      <c r="R112" s="173"/>
      <c r="S112" s="173"/>
      <c r="T112" s="173"/>
      <c r="U112" s="173"/>
      <c r="V112" s="173"/>
      <c r="W112" s="173"/>
      <c r="X112" s="10"/>
      <c r="Y112" s="173"/>
      <c r="Z112" s="173"/>
      <c r="AA112" s="173"/>
      <c r="AB112" s="173"/>
      <c r="AC112" s="10"/>
      <c r="AD112" s="173"/>
      <c r="AE112" s="173"/>
      <c r="AF112" s="173"/>
      <c r="AG112" s="173"/>
      <c r="AH112" s="10"/>
      <c r="AI112" s="173"/>
      <c r="AJ112" s="173"/>
      <c r="AK112" s="173"/>
      <c r="AL112" s="173"/>
      <c r="AM112" s="173"/>
      <c r="AN112" s="173"/>
      <c r="AO112" s="173"/>
      <c r="AP112" s="173"/>
    </row>
    <row r="113" spans="1:42" ht="12.75" customHeight="1">
      <c r="A113" s="1002"/>
      <c r="B113" s="700" t="s">
        <v>739</v>
      </c>
      <c r="C113" s="701">
        <v>439</v>
      </c>
      <c r="D113" s="702">
        <v>-0.5</v>
      </c>
      <c r="E113" s="703">
        <v>0.45</v>
      </c>
      <c r="F113" s="1007"/>
      <c r="G113" s="700" t="s">
        <v>740</v>
      </c>
      <c r="H113" s="701">
        <v>520</v>
      </c>
      <c r="I113" s="702">
        <v>0</v>
      </c>
      <c r="J113" s="703">
        <v>-0.2</v>
      </c>
      <c r="K113" s="1007"/>
      <c r="L113" s="700" t="s">
        <v>631</v>
      </c>
      <c r="M113" s="701">
        <v>341</v>
      </c>
      <c r="N113" s="702" t="s">
        <v>254</v>
      </c>
      <c r="O113" s="703" t="s">
        <v>254</v>
      </c>
      <c r="P113" s="692"/>
      <c r="Q113" s="173"/>
      <c r="R113" s="173"/>
      <c r="S113" s="173"/>
      <c r="T113" s="173"/>
      <c r="U113" s="173"/>
      <c r="V113" s="173"/>
      <c r="W113" s="173"/>
      <c r="X113" s="10"/>
      <c r="Y113" s="173"/>
      <c r="Z113" s="173"/>
      <c r="AA113" s="173"/>
      <c r="AB113" s="173"/>
      <c r="AC113" s="10"/>
      <c r="AD113" s="173"/>
      <c r="AE113" s="173"/>
      <c r="AF113" s="173"/>
      <c r="AG113" s="173"/>
      <c r="AH113" s="10"/>
      <c r="AI113" s="173"/>
      <c r="AJ113" s="173"/>
      <c r="AK113" s="173"/>
      <c r="AL113" s="173"/>
      <c r="AM113" s="173"/>
      <c r="AN113" s="173"/>
      <c r="AO113" s="173"/>
      <c r="AP113" s="173"/>
    </row>
    <row r="114" spans="1:42" ht="12.75" customHeight="1" thickBot="1">
      <c r="A114" s="1002"/>
      <c r="B114" s="704" t="s">
        <v>741</v>
      </c>
      <c r="C114" s="705">
        <v>440</v>
      </c>
      <c r="D114" s="706">
        <v>-0.3</v>
      </c>
      <c r="E114" s="707">
        <v>0.25</v>
      </c>
      <c r="F114" s="1008"/>
      <c r="G114" s="704" t="s">
        <v>742</v>
      </c>
      <c r="H114" s="705">
        <v>520</v>
      </c>
      <c r="I114" s="706">
        <v>0.2</v>
      </c>
      <c r="J114" s="707">
        <v>-0.2</v>
      </c>
      <c r="K114" s="1008"/>
      <c r="L114" s="704" t="s">
        <v>634</v>
      </c>
      <c r="M114" s="705">
        <v>356</v>
      </c>
      <c r="N114" s="706" t="s">
        <v>254</v>
      </c>
      <c r="O114" s="707" t="s">
        <v>254</v>
      </c>
      <c r="P114" s="692"/>
      <c r="Q114" s="173"/>
      <c r="R114" s="173"/>
      <c r="S114" s="173"/>
      <c r="T114" s="173"/>
      <c r="U114" s="173"/>
      <c r="V114" s="173"/>
      <c r="W114" s="173"/>
      <c r="X114" s="10"/>
      <c r="Y114" s="173"/>
      <c r="Z114" s="173"/>
      <c r="AA114" s="173"/>
      <c r="AB114" s="173"/>
      <c r="AC114" s="10"/>
      <c r="AD114" s="173"/>
      <c r="AE114" s="173"/>
      <c r="AF114" s="173"/>
      <c r="AG114" s="173"/>
      <c r="AH114" s="10"/>
      <c r="AI114" s="173"/>
      <c r="AJ114" s="173"/>
      <c r="AK114" s="173"/>
      <c r="AL114" s="173"/>
      <c r="AM114" s="173"/>
      <c r="AN114" s="173"/>
      <c r="AO114" s="173"/>
      <c r="AP114" s="173"/>
    </row>
    <row r="115" spans="1:42" ht="12.75" customHeight="1" thickBot="1">
      <c r="A115" s="1004" t="s">
        <v>339</v>
      </c>
      <c r="B115" s="1004"/>
      <c r="C115" s="1004"/>
      <c r="D115" s="1004"/>
      <c r="E115" s="1004"/>
      <c r="F115" s="1004" t="s">
        <v>342</v>
      </c>
      <c r="G115" s="1004"/>
      <c r="H115" s="1004"/>
      <c r="I115" s="1004"/>
      <c r="J115" s="1004"/>
      <c r="K115" s="1004" t="s">
        <v>337</v>
      </c>
      <c r="L115" s="1004"/>
      <c r="M115" s="1004"/>
      <c r="N115" s="1004"/>
      <c r="O115" s="1004"/>
      <c r="P115" s="692"/>
      <c r="Q115" s="173"/>
      <c r="R115" s="173"/>
      <c r="S115" s="173"/>
      <c r="T115" s="173"/>
      <c r="U115" s="173"/>
      <c r="V115" s="173"/>
      <c r="W115" s="173"/>
      <c r="X115" s="10"/>
      <c r="Y115" s="173"/>
      <c r="Z115" s="173"/>
      <c r="AA115" s="173"/>
      <c r="AB115" s="173"/>
      <c r="AC115" s="10"/>
      <c r="AD115" s="173"/>
      <c r="AE115" s="173"/>
      <c r="AF115" s="173"/>
      <c r="AG115" s="173"/>
      <c r="AH115" s="10"/>
      <c r="AI115" s="173"/>
      <c r="AJ115" s="173"/>
      <c r="AK115" s="173"/>
      <c r="AL115" s="173"/>
      <c r="AM115" s="173"/>
      <c r="AN115" s="173"/>
      <c r="AO115" s="173"/>
      <c r="AP115" s="173"/>
    </row>
    <row r="116" spans="1:42" ht="13.5" thickBot="1">
      <c r="A116" s="1004"/>
      <c r="B116" s="1004"/>
      <c r="C116" s="1004"/>
      <c r="D116" s="1004"/>
      <c r="E116" s="1004"/>
      <c r="F116" s="1004"/>
      <c r="G116" s="1004"/>
      <c r="H116" s="1004"/>
      <c r="I116" s="1004"/>
      <c r="J116" s="1004"/>
      <c r="K116" s="1004"/>
      <c r="L116" s="1004"/>
      <c r="M116" s="1004"/>
      <c r="N116" s="1004"/>
      <c r="O116" s="1004"/>
      <c r="P116" s="692"/>
      <c r="Q116" s="173"/>
      <c r="R116" s="173"/>
      <c r="S116" s="173"/>
      <c r="T116" s="173"/>
      <c r="U116" s="173"/>
      <c r="V116" s="173"/>
      <c r="W116" s="173"/>
      <c r="X116" s="10"/>
      <c r="Y116" s="173"/>
      <c r="Z116" s="173"/>
      <c r="AA116" s="173"/>
      <c r="AB116" s="173"/>
      <c r="AC116" s="10"/>
      <c r="AD116" s="173"/>
      <c r="AE116" s="173"/>
      <c r="AF116" s="173"/>
      <c r="AG116" s="173"/>
      <c r="AH116" s="10"/>
      <c r="AI116" s="173"/>
      <c r="AJ116" s="173"/>
      <c r="AK116" s="173"/>
      <c r="AL116" s="173"/>
      <c r="AM116" s="173"/>
      <c r="AN116" s="173"/>
      <c r="AO116" s="173"/>
      <c r="AP116" s="173"/>
    </row>
    <row r="117" spans="1:42" ht="12.75" customHeight="1" thickBot="1">
      <c r="A117" s="1005" t="s">
        <v>261</v>
      </c>
      <c r="B117" s="1005"/>
      <c r="C117" s="722" t="s">
        <v>470</v>
      </c>
      <c r="D117" s="722" t="s">
        <v>471</v>
      </c>
      <c r="E117" s="722" t="s">
        <v>472</v>
      </c>
      <c r="F117" s="1005" t="s">
        <v>261</v>
      </c>
      <c r="G117" s="1005"/>
      <c r="H117" s="722" t="s">
        <v>470</v>
      </c>
      <c r="I117" s="722" t="s">
        <v>471</v>
      </c>
      <c r="J117" s="722" t="s">
        <v>472</v>
      </c>
      <c r="K117" s="1005" t="s">
        <v>261</v>
      </c>
      <c r="L117" s="1005"/>
      <c r="M117" s="722" t="s">
        <v>470</v>
      </c>
      <c r="N117" s="722" t="s">
        <v>471</v>
      </c>
      <c r="O117" s="722" t="s">
        <v>472</v>
      </c>
      <c r="P117" s="692"/>
      <c r="Q117" s="173"/>
      <c r="R117" s="173"/>
      <c r="S117" s="173"/>
      <c r="T117" s="173"/>
      <c r="U117" s="173"/>
      <c r="V117" s="173"/>
      <c r="W117" s="173"/>
      <c r="X117" s="10"/>
      <c r="Y117" s="173"/>
      <c r="Z117" s="173"/>
      <c r="AA117" s="173"/>
      <c r="AB117" s="173"/>
      <c r="AC117" s="10"/>
      <c r="AD117" s="173"/>
      <c r="AE117" s="173"/>
      <c r="AF117" s="173"/>
      <c r="AG117" s="173"/>
      <c r="AH117" s="10"/>
      <c r="AI117" s="173"/>
      <c r="AJ117" s="173"/>
      <c r="AK117" s="173"/>
      <c r="AL117" s="173"/>
      <c r="AM117" s="173"/>
      <c r="AN117" s="173"/>
      <c r="AO117" s="173"/>
      <c r="AP117" s="173"/>
    </row>
    <row r="118" spans="1:42" ht="12.75" customHeight="1">
      <c r="A118" s="1002">
        <v>1</v>
      </c>
      <c r="B118" s="695" t="s">
        <v>743</v>
      </c>
      <c r="C118" s="696">
        <v>401</v>
      </c>
      <c r="D118" s="697">
        <v>0.1</v>
      </c>
      <c r="E118" s="698">
        <v>-0.1</v>
      </c>
      <c r="F118" s="1002">
        <v>1</v>
      </c>
      <c r="G118" s="695" t="s">
        <v>744</v>
      </c>
      <c r="H118" s="696" t="s">
        <v>134</v>
      </c>
      <c r="I118" s="723" t="s">
        <v>254</v>
      </c>
      <c r="J118" s="724" t="s">
        <v>254</v>
      </c>
      <c r="K118" s="1002">
        <v>1</v>
      </c>
      <c r="L118" s="695" t="s">
        <v>745</v>
      </c>
      <c r="M118" s="696">
        <v>455</v>
      </c>
      <c r="N118" s="697">
        <v>-1</v>
      </c>
      <c r="O118" s="698">
        <v>0.9</v>
      </c>
      <c r="P118" s="692"/>
      <c r="Q118" s="173"/>
      <c r="R118" s="173"/>
      <c r="S118" s="173"/>
      <c r="T118" s="173"/>
      <c r="U118" s="173"/>
      <c r="V118" s="173"/>
      <c r="W118" s="173"/>
      <c r="X118" s="10"/>
      <c r="Y118" s="173"/>
      <c r="Z118" s="173"/>
      <c r="AA118" s="173"/>
      <c r="AB118" s="173"/>
      <c r="AC118" s="10"/>
      <c r="AD118" s="173"/>
      <c r="AE118" s="173"/>
      <c r="AF118" s="173"/>
      <c r="AG118" s="173"/>
      <c r="AH118" s="10"/>
      <c r="AI118" s="173"/>
      <c r="AJ118" s="173"/>
      <c r="AK118" s="173"/>
      <c r="AL118" s="173"/>
      <c r="AM118" s="173"/>
      <c r="AN118" s="173"/>
      <c r="AO118" s="173"/>
      <c r="AP118" s="173"/>
    </row>
    <row r="119" spans="1:42" ht="12.75" customHeight="1">
      <c r="A119" s="1002"/>
      <c r="B119" s="700" t="s">
        <v>746</v>
      </c>
      <c r="C119" s="701">
        <v>401</v>
      </c>
      <c r="D119" s="702">
        <v>0.25</v>
      </c>
      <c r="E119" s="703">
        <v>-0.25</v>
      </c>
      <c r="F119" s="1002"/>
      <c r="G119" s="700" t="s">
        <v>747</v>
      </c>
      <c r="H119" s="701">
        <v>415</v>
      </c>
      <c r="I119" s="702">
        <v>1.3</v>
      </c>
      <c r="J119" s="703">
        <v>-0.9</v>
      </c>
      <c r="K119" s="1002"/>
      <c r="L119" s="700" t="s">
        <v>748</v>
      </c>
      <c r="M119" s="701">
        <v>468</v>
      </c>
      <c r="N119" s="702">
        <v>-1.1000000000000001</v>
      </c>
      <c r="O119" s="703">
        <v>1</v>
      </c>
      <c r="P119" s="692"/>
      <c r="Q119" s="173"/>
      <c r="R119" s="173"/>
      <c r="S119" s="173"/>
      <c r="T119" s="173"/>
      <c r="U119" s="173"/>
      <c r="V119" s="173"/>
      <c r="W119" s="173"/>
      <c r="X119" s="10"/>
      <c r="Y119" s="173"/>
      <c r="Z119" s="173"/>
      <c r="AA119" s="173"/>
      <c r="AB119" s="173"/>
      <c r="AC119" s="10"/>
      <c r="AD119" s="173"/>
      <c r="AE119" s="173"/>
      <c r="AF119" s="173"/>
      <c r="AG119" s="173"/>
      <c r="AH119" s="10"/>
      <c r="AI119" s="173"/>
      <c r="AJ119" s="173"/>
      <c r="AK119" s="173"/>
      <c r="AL119" s="173"/>
      <c r="AM119" s="173"/>
      <c r="AN119" s="173"/>
      <c r="AO119" s="173"/>
      <c r="AP119" s="173"/>
    </row>
    <row r="120" spans="1:42" ht="12.75" customHeight="1" thickBot="1">
      <c r="A120" s="1003"/>
      <c r="B120" s="708" t="s">
        <v>749</v>
      </c>
      <c r="C120" s="709">
        <v>411</v>
      </c>
      <c r="D120" s="710">
        <v>0.05</v>
      </c>
      <c r="E120" s="711">
        <v>-0.05</v>
      </c>
      <c r="F120" s="1002"/>
      <c r="G120" s="708" t="s">
        <v>750</v>
      </c>
      <c r="H120" s="709">
        <v>415</v>
      </c>
      <c r="I120" s="710" t="s">
        <v>254</v>
      </c>
      <c r="J120" s="711" t="s">
        <v>254</v>
      </c>
      <c r="K120" s="1002"/>
      <c r="L120" s="708" t="s">
        <v>751</v>
      </c>
      <c r="M120" s="709">
        <v>477</v>
      </c>
      <c r="N120" s="710">
        <v>-1.1000000000000001</v>
      </c>
      <c r="O120" s="711">
        <v>1</v>
      </c>
      <c r="P120" s="692"/>
      <c r="Q120" s="173"/>
      <c r="R120" s="173"/>
      <c r="S120" s="173"/>
      <c r="T120" s="173"/>
      <c r="U120" s="173"/>
      <c r="V120" s="173"/>
      <c r="W120" s="173"/>
      <c r="X120" s="10"/>
      <c r="Y120" s="173"/>
      <c r="Z120" s="173"/>
      <c r="AA120" s="173"/>
      <c r="AB120" s="173"/>
      <c r="AC120" s="10"/>
      <c r="AD120" s="173"/>
      <c r="AE120" s="173"/>
      <c r="AF120" s="173"/>
      <c r="AG120" s="173"/>
      <c r="AH120" s="10"/>
      <c r="AI120" s="173"/>
      <c r="AJ120" s="173"/>
      <c r="AK120" s="173"/>
      <c r="AL120" s="173"/>
      <c r="AM120" s="173"/>
      <c r="AN120" s="173"/>
      <c r="AO120" s="173"/>
      <c r="AP120" s="173"/>
    </row>
    <row r="121" spans="1:42" ht="12.75" customHeight="1">
      <c r="A121" s="1001">
        <v>2</v>
      </c>
      <c r="B121" s="695" t="s">
        <v>752</v>
      </c>
      <c r="C121" s="725">
        <v>231</v>
      </c>
      <c r="D121" s="697">
        <v>0.55000000000000004</v>
      </c>
      <c r="E121" s="698">
        <v>-0.5</v>
      </c>
      <c r="F121" s="1001">
        <v>2</v>
      </c>
      <c r="G121" s="695" t="s">
        <v>753</v>
      </c>
      <c r="H121" s="696">
        <v>292</v>
      </c>
      <c r="I121" s="697" t="s">
        <v>254</v>
      </c>
      <c r="J121" s="698" t="s">
        <v>254</v>
      </c>
      <c r="K121" s="1001">
        <v>2</v>
      </c>
      <c r="L121" s="695" t="s">
        <v>754</v>
      </c>
      <c r="M121" s="696">
        <v>181</v>
      </c>
      <c r="N121" s="697" t="s">
        <v>254</v>
      </c>
      <c r="O121" s="698" t="s">
        <v>254</v>
      </c>
      <c r="P121" s="692"/>
      <c r="Q121" s="173"/>
      <c r="R121" s="173"/>
      <c r="S121" s="173"/>
      <c r="T121" s="173"/>
      <c r="U121" s="173"/>
      <c r="V121" s="173"/>
      <c r="W121" s="173"/>
      <c r="X121" s="10"/>
      <c r="Y121" s="173"/>
      <c r="Z121" s="173"/>
      <c r="AA121" s="173"/>
      <c r="AB121" s="173"/>
      <c r="AC121" s="10"/>
      <c r="AD121" s="173"/>
      <c r="AE121" s="173"/>
      <c r="AF121" s="173"/>
      <c r="AG121" s="173"/>
      <c r="AH121" s="10"/>
      <c r="AI121" s="173"/>
      <c r="AJ121" s="173"/>
      <c r="AK121" s="173"/>
      <c r="AL121" s="173"/>
      <c r="AM121" s="173"/>
      <c r="AN121" s="173"/>
      <c r="AO121" s="173"/>
      <c r="AP121" s="173"/>
    </row>
    <row r="122" spans="1:42" ht="12.75" customHeight="1">
      <c r="A122" s="1002"/>
      <c r="B122" s="700" t="s">
        <v>755</v>
      </c>
      <c r="C122" s="701">
        <v>239</v>
      </c>
      <c r="D122" s="702">
        <v>0.55000000000000004</v>
      </c>
      <c r="E122" s="703">
        <v>-0.45</v>
      </c>
      <c r="F122" s="1002"/>
      <c r="G122" s="700" t="s">
        <v>756</v>
      </c>
      <c r="H122" s="701">
        <v>299</v>
      </c>
      <c r="I122" s="702" t="s">
        <v>254</v>
      </c>
      <c r="J122" s="703">
        <v>0.7</v>
      </c>
      <c r="K122" s="1002"/>
      <c r="L122" s="700" t="s">
        <v>757</v>
      </c>
      <c r="M122" s="701">
        <v>198</v>
      </c>
      <c r="N122" s="702">
        <v>-0.5</v>
      </c>
      <c r="O122" s="703">
        <v>0.5</v>
      </c>
      <c r="P122" s="692"/>
      <c r="Q122" s="173"/>
      <c r="R122" s="173"/>
      <c r="S122" s="173"/>
      <c r="T122" s="173"/>
      <c r="U122" s="173"/>
      <c r="V122" s="173"/>
      <c r="W122" s="173"/>
      <c r="X122" s="10"/>
      <c r="Y122" s="173"/>
      <c r="Z122" s="173"/>
      <c r="AA122" s="173"/>
      <c r="AB122" s="173"/>
      <c r="AC122" s="10"/>
      <c r="AD122" s="173"/>
      <c r="AE122" s="173"/>
      <c r="AF122" s="173"/>
      <c r="AG122" s="173"/>
      <c r="AH122" s="10"/>
      <c r="AI122" s="173"/>
      <c r="AJ122" s="173"/>
      <c r="AK122" s="173"/>
      <c r="AL122" s="173"/>
      <c r="AM122" s="173"/>
      <c r="AN122" s="173"/>
      <c r="AO122" s="173"/>
      <c r="AP122" s="173"/>
    </row>
    <row r="123" spans="1:42" ht="12.75" customHeight="1" thickBot="1">
      <c r="A123" s="1003"/>
      <c r="B123" s="704" t="s">
        <v>758</v>
      </c>
      <c r="C123" s="705">
        <v>248</v>
      </c>
      <c r="D123" s="706">
        <v>0.15</v>
      </c>
      <c r="E123" s="707">
        <v>-0.15</v>
      </c>
      <c r="F123" s="1003"/>
      <c r="G123" s="704" t="s">
        <v>759</v>
      </c>
      <c r="H123" s="705">
        <v>299</v>
      </c>
      <c r="I123" s="706">
        <v>0.45</v>
      </c>
      <c r="J123" s="707" t="s">
        <v>254</v>
      </c>
      <c r="K123" s="1003"/>
      <c r="L123" s="704" t="s">
        <v>760</v>
      </c>
      <c r="M123" s="705">
        <v>202</v>
      </c>
      <c r="N123" s="706">
        <v>-0.7</v>
      </c>
      <c r="O123" s="707">
        <v>0.65</v>
      </c>
      <c r="P123" s="692"/>
      <c r="Q123" s="173"/>
      <c r="R123" s="173"/>
      <c r="S123" s="173"/>
      <c r="T123" s="173"/>
      <c r="U123" s="173"/>
      <c r="V123" s="173"/>
      <c r="W123" s="173"/>
      <c r="X123" s="10"/>
      <c r="Y123" s="173"/>
      <c r="Z123" s="173"/>
      <c r="AA123" s="173"/>
      <c r="AB123" s="173"/>
      <c r="AC123" s="10"/>
      <c r="AD123" s="173"/>
      <c r="AE123" s="173"/>
      <c r="AF123" s="173"/>
      <c r="AG123" s="173"/>
      <c r="AH123" s="10"/>
      <c r="AI123" s="173"/>
      <c r="AJ123" s="173"/>
      <c r="AK123" s="173"/>
      <c r="AL123" s="173"/>
      <c r="AM123" s="173"/>
      <c r="AN123" s="173"/>
      <c r="AO123" s="173"/>
      <c r="AP123" s="173"/>
    </row>
    <row r="124" spans="1:42" ht="12.75" customHeight="1">
      <c r="A124" s="1001">
        <v>3</v>
      </c>
      <c r="B124" s="715" t="s">
        <v>761</v>
      </c>
      <c r="C124" s="716">
        <v>271</v>
      </c>
      <c r="D124" s="717" t="s">
        <v>254</v>
      </c>
      <c r="E124" s="718" t="s">
        <v>254</v>
      </c>
      <c r="F124" s="1002">
        <v>3</v>
      </c>
      <c r="G124" s="715" t="s">
        <v>762</v>
      </c>
      <c r="H124" s="716">
        <v>414</v>
      </c>
      <c r="I124" s="717" t="s">
        <v>254</v>
      </c>
      <c r="J124" s="718" t="s">
        <v>254</v>
      </c>
      <c r="K124" s="1002">
        <v>3</v>
      </c>
      <c r="L124" s="715" t="s">
        <v>763</v>
      </c>
      <c r="M124" s="716">
        <v>347</v>
      </c>
      <c r="N124" s="717">
        <v>-0.55000000000000004</v>
      </c>
      <c r="O124" s="718">
        <v>0.5</v>
      </c>
      <c r="P124" s="692"/>
      <c r="Q124" s="173"/>
      <c r="R124" s="173"/>
      <c r="S124" s="173"/>
      <c r="T124" s="173"/>
      <c r="U124" s="173"/>
      <c r="V124" s="173"/>
      <c r="W124" s="173"/>
      <c r="X124" s="10"/>
      <c r="Y124" s="173"/>
      <c r="Z124" s="173"/>
      <c r="AA124" s="173"/>
      <c r="AB124" s="173"/>
      <c r="AC124" s="10"/>
      <c r="AD124" s="173"/>
      <c r="AE124" s="173"/>
      <c r="AF124" s="173"/>
      <c r="AG124" s="173"/>
      <c r="AH124" s="10"/>
      <c r="AI124" s="173"/>
      <c r="AJ124" s="173"/>
      <c r="AK124" s="173"/>
      <c r="AL124" s="173"/>
      <c r="AM124" s="173"/>
      <c r="AN124" s="173"/>
      <c r="AO124" s="173"/>
      <c r="AP124" s="173"/>
    </row>
    <row r="125" spans="1:42" ht="12.75" customHeight="1">
      <c r="A125" s="1002"/>
      <c r="B125" s="700" t="s">
        <v>764</v>
      </c>
      <c r="C125" s="701">
        <v>279</v>
      </c>
      <c r="D125" s="702" t="s">
        <v>254</v>
      </c>
      <c r="E125" s="703" t="s">
        <v>254</v>
      </c>
      <c r="F125" s="1002"/>
      <c r="G125" s="700" t="s">
        <v>765</v>
      </c>
      <c r="H125" s="701">
        <v>419</v>
      </c>
      <c r="I125" s="702">
        <v>0.7</v>
      </c>
      <c r="J125" s="703">
        <v>-0.65</v>
      </c>
      <c r="K125" s="1002"/>
      <c r="L125" s="700" t="s">
        <v>766</v>
      </c>
      <c r="M125" s="701">
        <v>357</v>
      </c>
      <c r="N125" s="702">
        <v>-0.4</v>
      </c>
      <c r="O125" s="703">
        <v>0.5</v>
      </c>
      <c r="P125" s="692"/>
      <c r="Q125" s="173"/>
      <c r="R125" s="173"/>
      <c r="S125" s="173"/>
      <c r="T125" s="173"/>
      <c r="U125" s="173"/>
      <c r="V125" s="173"/>
      <c r="W125" s="173"/>
      <c r="X125" s="10"/>
      <c r="Y125" s="173"/>
      <c r="Z125" s="173"/>
      <c r="AA125" s="173"/>
      <c r="AB125" s="173"/>
      <c r="AC125" s="10"/>
      <c r="AD125" s="173"/>
      <c r="AE125" s="173"/>
      <c r="AF125" s="173"/>
      <c r="AG125" s="173"/>
      <c r="AH125" s="10"/>
      <c r="AI125" s="173"/>
      <c r="AJ125" s="173"/>
      <c r="AK125" s="173"/>
      <c r="AL125" s="173"/>
      <c r="AM125" s="173"/>
      <c r="AN125" s="173"/>
      <c r="AO125" s="173"/>
      <c r="AP125" s="173"/>
    </row>
    <row r="126" spans="1:42" ht="12.75" customHeight="1" thickBot="1">
      <c r="A126" s="1003"/>
      <c r="B126" s="708" t="s">
        <v>767</v>
      </c>
      <c r="C126" s="709">
        <v>284</v>
      </c>
      <c r="D126" s="710" t="s">
        <v>254</v>
      </c>
      <c r="E126" s="711" t="s">
        <v>254</v>
      </c>
      <c r="F126" s="1002"/>
      <c r="G126" s="708" t="s">
        <v>768</v>
      </c>
      <c r="H126" s="709">
        <v>434</v>
      </c>
      <c r="I126" s="710">
        <v>0.45</v>
      </c>
      <c r="J126" s="711">
        <v>-0.35</v>
      </c>
      <c r="K126" s="1002"/>
      <c r="L126" s="708" t="s">
        <v>769</v>
      </c>
      <c r="M126" s="709">
        <v>370</v>
      </c>
      <c r="N126" s="710">
        <v>-0.5</v>
      </c>
      <c r="O126" s="711">
        <v>0.5</v>
      </c>
      <c r="P126" s="692"/>
      <c r="Q126" s="173"/>
      <c r="R126" s="173"/>
      <c r="S126" s="173"/>
      <c r="T126" s="173"/>
      <c r="U126" s="173"/>
      <c r="V126" s="173"/>
      <c r="W126" s="173"/>
      <c r="X126" s="10"/>
      <c r="Y126" s="173"/>
      <c r="Z126" s="173"/>
      <c r="AA126" s="173"/>
      <c r="AB126" s="173"/>
      <c r="AC126" s="10"/>
      <c r="AD126" s="173"/>
      <c r="AE126" s="173"/>
      <c r="AF126" s="173"/>
      <c r="AG126" s="173"/>
      <c r="AH126" s="10"/>
      <c r="AI126" s="173"/>
      <c r="AJ126" s="173"/>
      <c r="AK126" s="173"/>
      <c r="AL126" s="173"/>
      <c r="AM126" s="173"/>
      <c r="AN126" s="173"/>
      <c r="AO126" s="173"/>
      <c r="AP126" s="173"/>
    </row>
    <row r="127" spans="1:42" ht="12.75" customHeight="1">
      <c r="A127" s="1001">
        <v>4</v>
      </c>
      <c r="B127" s="695" t="s">
        <v>770</v>
      </c>
      <c r="C127" s="696">
        <v>407</v>
      </c>
      <c r="D127" s="697">
        <v>0.7</v>
      </c>
      <c r="E127" s="698" t="s">
        <v>254</v>
      </c>
      <c r="F127" s="1001">
        <v>4</v>
      </c>
      <c r="G127" s="695" t="s">
        <v>771</v>
      </c>
      <c r="H127" s="696">
        <v>451</v>
      </c>
      <c r="I127" s="697" t="s">
        <v>254</v>
      </c>
      <c r="J127" s="698" t="s">
        <v>254</v>
      </c>
      <c r="K127" s="1001">
        <v>4</v>
      </c>
      <c r="L127" s="695" t="s">
        <v>772</v>
      </c>
      <c r="M127" s="696">
        <v>523</v>
      </c>
      <c r="N127" s="697" t="s">
        <v>254</v>
      </c>
      <c r="O127" s="698" t="s">
        <v>254</v>
      </c>
      <c r="P127" s="692"/>
      <c r="Q127" s="173"/>
      <c r="R127" s="173"/>
      <c r="S127" s="173"/>
      <c r="T127" s="173"/>
      <c r="U127" s="173"/>
      <c r="V127" s="173"/>
      <c r="W127" s="173"/>
      <c r="X127" s="10"/>
      <c r="Y127" s="173"/>
      <c r="Z127" s="173"/>
      <c r="AA127" s="173"/>
      <c r="AB127" s="173"/>
      <c r="AC127" s="10"/>
      <c r="AD127" s="173"/>
      <c r="AE127" s="173"/>
      <c r="AF127" s="173"/>
      <c r="AG127" s="173"/>
      <c r="AH127" s="10"/>
      <c r="AI127" s="173"/>
      <c r="AJ127" s="173"/>
      <c r="AK127" s="173"/>
      <c r="AL127" s="173"/>
      <c r="AM127" s="173"/>
      <c r="AN127" s="173"/>
      <c r="AO127" s="173"/>
      <c r="AP127" s="173"/>
    </row>
    <row r="128" spans="1:42" ht="12.75" customHeight="1">
      <c r="A128" s="1002"/>
      <c r="B128" s="700" t="s">
        <v>773</v>
      </c>
      <c r="C128" s="701">
        <v>414</v>
      </c>
      <c r="D128" s="702">
        <v>0.7</v>
      </c>
      <c r="E128" s="703">
        <v>-0.65</v>
      </c>
      <c r="F128" s="1002"/>
      <c r="G128" s="700" t="s">
        <v>774</v>
      </c>
      <c r="H128" s="701">
        <v>464</v>
      </c>
      <c r="I128" s="702">
        <v>0.35</v>
      </c>
      <c r="J128" s="703">
        <v>-0.35</v>
      </c>
      <c r="K128" s="1002"/>
      <c r="L128" s="700" t="s">
        <v>775</v>
      </c>
      <c r="M128" s="701">
        <v>537</v>
      </c>
      <c r="N128" s="702" t="s">
        <v>254</v>
      </c>
      <c r="O128" s="703" t="s">
        <v>254</v>
      </c>
      <c r="P128" s="692"/>
      <c r="Q128" s="173"/>
      <c r="R128" s="173"/>
      <c r="S128" s="173"/>
      <c r="T128" s="173"/>
      <c r="U128" s="173"/>
      <c r="V128" s="173"/>
      <c r="W128" s="173"/>
      <c r="X128" s="10"/>
      <c r="Y128" s="173"/>
      <c r="Z128" s="173"/>
      <c r="AA128" s="173"/>
      <c r="AB128" s="173"/>
      <c r="AC128" s="10"/>
      <c r="AD128" s="173"/>
      <c r="AE128" s="173"/>
      <c r="AF128" s="173"/>
      <c r="AG128" s="173"/>
      <c r="AH128" s="10"/>
      <c r="AI128" s="173"/>
      <c r="AJ128" s="173"/>
      <c r="AK128" s="173"/>
      <c r="AL128" s="173"/>
      <c r="AM128" s="173"/>
      <c r="AN128" s="173"/>
      <c r="AO128" s="173"/>
      <c r="AP128" s="173"/>
    </row>
    <row r="129" spans="1:42" ht="12.75" customHeight="1" thickBot="1">
      <c r="A129" s="1003"/>
      <c r="B129" s="704" t="s">
        <v>776</v>
      </c>
      <c r="C129" s="705">
        <v>425</v>
      </c>
      <c r="D129" s="706">
        <v>0.4</v>
      </c>
      <c r="E129" s="707" t="s">
        <v>254</v>
      </c>
      <c r="F129" s="1003"/>
      <c r="G129" s="704" t="s">
        <v>777</v>
      </c>
      <c r="H129" s="705">
        <v>466</v>
      </c>
      <c r="I129" s="706" t="s">
        <v>254</v>
      </c>
      <c r="J129" s="707" t="s">
        <v>254</v>
      </c>
      <c r="K129" s="1003"/>
      <c r="L129" s="704" t="s">
        <v>778</v>
      </c>
      <c r="M129" s="705">
        <v>545</v>
      </c>
      <c r="N129" s="706" t="s">
        <v>254</v>
      </c>
      <c r="O129" s="707" t="s">
        <v>124</v>
      </c>
      <c r="P129" s="692"/>
      <c r="Q129" s="173"/>
      <c r="R129" s="173"/>
      <c r="S129" s="173"/>
      <c r="T129" s="173"/>
      <c r="U129" s="173"/>
      <c r="V129" s="173"/>
      <c r="W129" s="173"/>
      <c r="X129" s="10"/>
      <c r="Y129" s="173"/>
      <c r="Z129" s="173"/>
      <c r="AA129" s="173"/>
      <c r="AB129" s="173"/>
      <c r="AC129" s="10"/>
      <c r="AD129" s="173"/>
      <c r="AE129" s="173"/>
      <c r="AF129" s="173"/>
      <c r="AG129" s="173"/>
      <c r="AH129" s="10"/>
      <c r="AI129" s="173"/>
      <c r="AJ129" s="173"/>
      <c r="AK129" s="173"/>
      <c r="AL129" s="173"/>
      <c r="AM129" s="173"/>
      <c r="AN129" s="173"/>
      <c r="AO129" s="173"/>
      <c r="AP129" s="173"/>
    </row>
    <row r="130" spans="1:42" ht="12.75" customHeight="1">
      <c r="A130" s="1001">
        <v>5</v>
      </c>
      <c r="B130" s="715" t="s">
        <v>779</v>
      </c>
      <c r="C130" s="716">
        <v>431</v>
      </c>
      <c r="D130" s="717">
        <v>0.15</v>
      </c>
      <c r="E130" s="718">
        <v>-0.2</v>
      </c>
      <c r="F130" s="1002">
        <v>5</v>
      </c>
      <c r="G130" s="715" t="s">
        <v>780</v>
      </c>
      <c r="H130" s="716">
        <v>473</v>
      </c>
      <c r="I130" s="717">
        <v>-0.25</v>
      </c>
      <c r="J130" s="718">
        <v>0.25</v>
      </c>
      <c r="K130" s="1002">
        <v>5</v>
      </c>
      <c r="L130" s="715" t="s">
        <v>781</v>
      </c>
      <c r="M130" s="716">
        <v>431</v>
      </c>
      <c r="N130" s="717" t="s">
        <v>254</v>
      </c>
      <c r="O130" s="718">
        <v>0.7</v>
      </c>
      <c r="P130" s="692"/>
      <c r="Q130" s="173"/>
      <c r="R130" s="173"/>
      <c r="S130" s="173"/>
      <c r="T130" s="173"/>
      <c r="U130" s="173"/>
      <c r="V130" s="173"/>
      <c r="W130" s="173"/>
      <c r="X130" s="10"/>
      <c r="Y130" s="173"/>
      <c r="Z130" s="173"/>
      <c r="AA130" s="173"/>
      <c r="AB130" s="173"/>
      <c r="AC130" s="10"/>
      <c r="AD130" s="173"/>
      <c r="AE130" s="173"/>
      <c r="AF130" s="173"/>
      <c r="AG130" s="173"/>
      <c r="AH130" s="10"/>
      <c r="AI130" s="173"/>
      <c r="AJ130" s="173"/>
      <c r="AK130" s="173"/>
      <c r="AL130" s="173"/>
      <c r="AM130" s="173"/>
      <c r="AN130" s="173"/>
      <c r="AO130" s="173"/>
      <c r="AP130" s="173"/>
    </row>
    <row r="131" spans="1:42" ht="12.75" customHeight="1">
      <c r="A131" s="1002"/>
      <c r="B131" s="700" t="s">
        <v>782</v>
      </c>
      <c r="C131" s="701">
        <v>433</v>
      </c>
      <c r="D131" s="702">
        <v>0.2</v>
      </c>
      <c r="E131" s="703">
        <v>-0.2</v>
      </c>
      <c r="F131" s="1002"/>
      <c r="G131" s="700" t="s">
        <v>783</v>
      </c>
      <c r="H131" s="701">
        <v>479</v>
      </c>
      <c r="I131" s="702">
        <v>-0.3</v>
      </c>
      <c r="J131" s="703">
        <v>0.25</v>
      </c>
      <c r="K131" s="1002"/>
      <c r="L131" s="700" t="s">
        <v>784</v>
      </c>
      <c r="M131" s="701">
        <v>442</v>
      </c>
      <c r="N131" s="702">
        <v>-0.7</v>
      </c>
      <c r="O131" s="703">
        <v>0.7</v>
      </c>
      <c r="P131" s="692"/>
      <c r="Q131" s="173"/>
      <c r="R131" s="173"/>
      <c r="S131" s="173"/>
      <c r="T131" s="173"/>
      <c r="U131" s="173"/>
      <c r="V131" s="173"/>
      <c r="W131" s="173"/>
      <c r="X131" s="10"/>
      <c r="Y131" s="173"/>
      <c r="Z131" s="173"/>
      <c r="AA131" s="173"/>
      <c r="AB131" s="173"/>
      <c r="AC131" s="10"/>
      <c r="AD131" s="173"/>
      <c r="AE131" s="173"/>
      <c r="AF131" s="173"/>
      <c r="AG131" s="173"/>
      <c r="AH131" s="10"/>
      <c r="AI131" s="173"/>
      <c r="AJ131" s="173"/>
      <c r="AK131" s="173"/>
      <c r="AL131" s="173"/>
      <c r="AM131" s="173"/>
      <c r="AN131" s="173"/>
      <c r="AO131" s="173"/>
      <c r="AP131" s="173"/>
    </row>
    <row r="132" spans="1:42" ht="12.75" customHeight="1" thickBot="1">
      <c r="A132" s="1003"/>
      <c r="B132" s="708" t="s">
        <v>785</v>
      </c>
      <c r="C132" s="709">
        <v>438</v>
      </c>
      <c r="D132" s="710">
        <v>0.3</v>
      </c>
      <c r="E132" s="711">
        <v>-0.25</v>
      </c>
      <c r="F132" s="1002"/>
      <c r="G132" s="708" t="s">
        <v>786</v>
      </c>
      <c r="H132" s="709">
        <v>485</v>
      </c>
      <c r="I132" s="710">
        <v>0.25</v>
      </c>
      <c r="J132" s="711">
        <v>-0.3</v>
      </c>
      <c r="K132" s="1002"/>
      <c r="L132" s="708" t="s">
        <v>787</v>
      </c>
      <c r="M132" s="709">
        <v>455</v>
      </c>
      <c r="N132" s="710">
        <v>-0.8</v>
      </c>
      <c r="O132" s="711">
        <v>0.8</v>
      </c>
      <c r="P132" s="692"/>
      <c r="Q132" s="173"/>
      <c r="R132" s="173"/>
      <c r="S132" s="173"/>
      <c r="T132" s="173"/>
      <c r="U132" s="173"/>
      <c r="V132" s="173"/>
      <c r="W132" s="173"/>
      <c r="X132" s="10"/>
      <c r="Y132" s="173"/>
      <c r="Z132" s="173"/>
      <c r="AA132" s="173"/>
      <c r="AB132" s="173"/>
      <c r="AC132" s="10"/>
      <c r="AD132" s="173"/>
      <c r="AE132" s="173"/>
      <c r="AF132" s="173"/>
      <c r="AG132" s="173"/>
      <c r="AH132" s="10"/>
      <c r="AI132" s="173"/>
      <c r="AJ132" s="173"/>
      <c r="AK132" s="173"/>
      <c r="AL132" s="173"/>
      <c r="AM132" s="173"/>
      <c r="AN132" s="173"/>
      <c r="AO132" s="173"/>
      <c r="AP132" s="173"/>
    </row>
    <row r="133" spans="1:42" ht="12.75" customHeight="1">
      <c r="A133" s="1001">
        <v>6</v>
      </c>
      <c r="B133" s="695" t="s">
        <v>788</v>
      </c>
      <c r="C133" s="696">
        <v>228</v>
      </c>
      <c r="D133" s="697">
        <v>0</v>
      </c>
      <c r="E133" s="698">
        <v>0</v>
      </c>
      <c r="F133" s="1001">
        <v>6</v>
      </c>
      <c r="G133" s="695" t="s">
        <v>789</v>
      </c>
      <c r="H133" s="696">
        <v>415</v>
      </c>
      <c r="I133" s="697">
        <v>-0.2</v>
      </c>
      <c r="J133" s="698">
        <v>0.2</v>
      </c>
      <c r="K133" s="1001">
        <v>6</v>
      </c>
      <c r="L133" s="695" t="s">
        <v>790</v>
      </c>
      <c r="M133" s="696">
        <v>364</v>
      </c>
      <c r="N133" s="697" t="s">
        <v>254</v>
      </c>
      <c r="O133" s="698">
        <v>-1.4</v>
      </c>
      <c r="P133" s="692"/>
      <c r="Q133" s="173"/>
      <c r="R133" s="173"/>
      <c r="S133" s="173"/>
      <c r="T133" s="173"/>
      <c r="U133" s="173"/>
      <c r="V133" s="173"/>
      <c r="W133" s="173"/>
      <c r="X133" s="10"/>
      <c r="Y133" s="173"/>
      <c r="Z133" s="173"/>
      <c r="AA133" s="173"/>
      <c r="AB133" s="173"/>
      <c r="AC133" s="10"/>
      <c r="AD133" s="173"/>
      <c r="AE133" s="173"/>
      <c r="AF133" s="173"/>
      <c r="AG133" s="173"/>
      <c r="AH133" s="10"/>
      <c r="AI133" s="173"/>
      <c r="AJ133" s="173"/>
      <c r="AK133" s="173"/>
      <c r="AL133" s="173"/>
      <c r="AM133" s="173"/>
      <c r="AN133" s="173"/>
      <c r="AO133" s="173"/>
      <c r="AP133" s="173"/>
    </row>
    <row r="134" spans="1:42" ht="12.75" customHeight="1">
      <c r="A134" s="1002"/>
      <c r="B134" s="700" t="s">
        <v>791</v>
      </c>
      <c r="C134" s="701">
        <v>231</v>
      </c>
      <c r="D134" s="702">
        <v>0.4</v>
      </c>
      <c r="E134" s="703">
        <v>-0.4</v>
      </c>
      <c r="F134" s="1002"/>
      <c r="G134" s="700" t="s">
        <v>792</v>
      </c>
      <c r="H134" s="701">
        <v>429</v>
      </c>
      <c r="I134" s="702">
        <v>0.2</v>
      </c>
      <c r="J134" s="703">
        <v>-0.25</v>
      </c>
      <c r="K134" s="1002"/>
      <c r="L134" s="700" t="s">
        <v>793</v>
      </c>
      <c r="M134" s="701">
        <v>377</v>
      </c>
      <c r="N134" s="702" t="s">
        <v>254</v>
      </c>
      <c r="O134" s="703">
        <v>-1.1000000000000001</v>
      </c>
      <c r="P134" s="692"/>
      <c r="Q134" s="173"/>
      <c r="R134" s="173"/>
      <c r="S134" s="173"/>
      <c r="T134" s="173"/>
      <c r="U134" s="173"/>
      <c r="V134" s="173"/>
      <c r="W134" s="173"/>
      <c r="X134" s="10"/>
      <c r="Y134" s="173"/>
      <c r="Z134" s="173"/>
      <c r="AA134" s="173"/>
      <c r="AB134" s="173"/>
      <c r="AC134" s="10"/>
      <c r="AD134" s="173"/>
      <c r="AE134" s="173"/>
      <c r="AF134" s="173"/>
      <c r="AG134" s="173"/>
      <c r="AH134" s="10"/>
      <c r="AI134" s="173"/>
      <c r="AJ134" s="173"/>
      <c r="AK134" s="173"/>
      <c r="AL134" s="173"/>
      <c r="AM134" s="173"/>
      <c r="AN134" s="173"/>
      <c r="AO134" s="173"/>
      <c r="AP134" s="173"/>
    </row>
    <row r="135" spans="1:42" ht="12.75" customHeight="1" thickBot="1">
      <c r="A135" s="1003"/>
      <c r="B135" s="704" t="s">
        <v>794</v>
      </c>
      <c r="C135" s="705">
        <v>238</v>
      </c>
      <c r="D135" s="706">
        <v>0.25</v>
      </c>
      <c r="E135" s="707">
        <v>-0.25</v>
      </c>
      <c r="F135" s="1003"/>
      <c r="G135" s="704" t="s">
        <v>795</v>
      </c>
      <c r="H135" s="705">
        <v>439</v>
      </c>
      <c r="I135" s="706">
        <v>0.25</v>
      </c>
      <c r="J135" s="707">
        <v>-0.3</v>
      </c>
      <c r="K135" s="1003"/>
      <c r="L135" s="704" t="s">
        <v>796</v>
      </c>
      <c r="M135" s="705">
        <v>377</v>
      </c>
      <c r="N135" s="706">
        <v>1.45</v>
      </c>
      <c r="O135" s="707">
        <v>-1.3</v>
      </c>
      <c r="P135" s="692"/>
      <c r="Q135" s="173"/>
      <c r="R135" s="173"/>
      <c r="S135" s="173"/>
      <c r="T135" s="173"/>
      <c r="U135" s="173"/>
      <c r="V135" s="173"/>
      <c r="W135" s="173"/>
      <c r="X135" s="10"/>
      <c r="Y135" s="173"/>
      <c r="Z135" s="173"/>
      <c r="AA135" s="173"/>
      <c r="AB135" s="173"/>
      <c r="AC135" s="10"/>
      <c r="AD135" s="173"/>
      <c r="AE135" s="173"/>
      <c r="AF135" s="173"/>
      <c r="AG135" s="173"/>
      <c r="AH135" s="10"/>
      <c r="AI135" s="173"/>
      <c r="AJ135" s="173"/>
      <c r="AK135" s="173"/>
      <c r="AL135" s="173"/>
      <c r="AM135" s="173"/>
      <c r="AN135" s="173"/>
      <c r="AO135" s="173"/>
      <c r="AP135" s="173"/>
    </row>
    <row r="136" spans="1:42" ht="12.75" customHeight="1">
      <c r="A136" s="1001">
        <v>7</v>
      </c>
      <c r="B136" s="715" t="s">
        <v>797</v>
      </c>
      <c r="C136" s="716">
        <v>486</v>
      </c>
      <c r="D136" s="717">
        <v>-0.35</v>
      </c>
      <c r="E136" s="718">
        <v>0.35</v>
      </c>
      <c r="F136" s="1002">
        <v>7</v>
      </c>
      <c r="G136" s="715" t="s">
        <v>798</v>
      </c>
      <c r="H136" s="716">
        <v>231</v>
      </c>
      <c r="I136" s="717">
        <v>0</v>
      </c>
      <c r="J136" s="718">
        <v>0</v>
      </c>
      <c r="K136" s="1002">
        <v>7</v>
      </c>
      <c r="L136" s="715" t="s">
        <v>799</v>
      </c>
      <c r="M136" s="716">
        <v>236</v>
      </c>
      <c r="N136" s="717" t="s">
        <v>254</v>
      </c>
      <c r="O136" s="718" t="s">
        <v>254</v>
      </c>
      <c r="P136" s="692"/>
      <c r="Q136" s="173"/>
      <c r="R136" s="173"/>
      <c r="S136" s="173"/>
      <c r="T136" s="173"/>
      <c r="U136" s="173"/>
      <c r="V136" s="173"/>
      <c r="W136" s="173"/>
      <c r="X136" s="10"/>
      <c r="Y136" s="173"/>
      <c r="Z136" s="173"/>
      <c r="AA136" s="173"/>
      <c r="AB136" s="173"/>
      <c r="AC136" s="10"/>
      <c r="AD136" s="173"/>
      <c r="AE136" s="173"/>
      <c r="AF136" s="173"/>
      <c r="AG136" s="173"/>
      <c r="AH136" s="10"/>
      <c r="AI136" s="173"/>
      <c r="AJ136" s="173"/>
      <c r="AK136" s="173"/>
      <c r="AL136" s="173"/>
      <c r="AM136" s="173"/>
      <c r="AN136" s="173"/>
      <c r="AO136" s="173"/>
      <c r="AP136" s="173"/>
    </row>
    <row r="137" spans="1:42" ht="12.75" customHeight="1">
      <c r="A137" s="1002"/>
      <c r="B137" s="700" t="s">
        <v>800</v>
      </c>
      <c r="C137" s="701">
        <v>492</v>
      </c>
      <c r="D137" s="702">
        <v>-0.2</v>
      </c>
      <c r="E137" s="703">
        <v>0.4</v>
      </c>
      <c r="F137" s="1002"/>
      <c r="G137" s="700" t="s">
        <v>801</v>
      </c>
      <c r="H137" s="701">
        <v>240</v>
      </c>
      <c r="I137" s="702">
        <v>0</v>
      </c>
      <c r="J137" s="703">
        <v>-0.1</v>
      </c>
      <c r="K137" s="1002"/>
      <c r="L137" s="700" t="s">
        <v>802</v>
      </c>
      <c r="M137" s="701">
        <v>250</v>
      </c>
      <c r="N137" s="702">
        <v>-0.6</v>
      </c>
      <c r="O137" s="703">
        <v>0.6</v>
      </c>
      <c r="P137" s="692"/>
      <c r="Q137" s="173"/>
      <c r="R137" s="173"/>
      <c r="S137" s="173"/>
      <c r="T137" s="173"/>
      <c r="U137" s="173"/>
      <c r="V137" s="173"/>
      <c r="W137" s="173"/>
      <c r="X137" s="10"/>
      <c r="Y137" s="173"/>
      <c r="Z137" s="173"/>
      <c r="AA137" s="173"/>
      <c r="AB137" s="173"/>
      <c r="AC137" s="10"/>
      <c r="AD137" s="173"/>
      <c r="AE137" s="173"/>
      <c r="AF137" s="173"/>
      <c r="AG137" s="173"/>
      <c r="AH137" s="10"/>
      <c r="AI137" s="173"/>
      <c r="AJ137" s="173"/>
      <c r="AK137" s="173"/>
      <c r="AL137" s="173"/>
      <c r="AM137" s="173"/>
      <c r="AN137" s="173"/>
      <c r="AO137" s="173"/>
      <c r="AP137" s="173"/>
    </row>
    <row r="138" spans="1:42" ht="12.75" customHeight="1" thickBot="1">
      <c r="A138" s="1003"/>
      <c r="B138" s="708" t="s">
        <v>803</v>
      </c>
      <c r="C138" s="709">
        <v>498</v>
      </c>
      <c r="D138" s="710">
        <v>-0.1</v>
      </c>
      <c r="E138" s="711">
        <v>0.2</v>
      </c>
      <c r="F138" s="1002"/>
      <c r="G138" s="708" t="s">
        <v>804</v>
      </c>
      <c r="H138" s="709">
        <v>245</v>
      </c>
      <c r="I138" s="710">
        <v>-0.4</v>
      </c>
      <c r="J138" s="711">
        <v>0.5</v>
      </c>
      <c r="K138" s="1002"/>
      <c r="L138" s="708" t="s">
        <v>805</v>
      </c>
      <c r="M138" s="709">
        <v>259</v>
      </c>
      <c r="N138" s="710">
        <v>-0.6</v>
      </c>
      <c r="O138" s="711">
        <v>0.6</v>
      </c>
      <c r="P138" s="692"/>
      <c r="Q138" s="173"/>
      <c r="R138" s="173"/>
      <c r="S138" s="173"/>
      <c r="T138" s="173"/>
      <c r="U138" s="173"/>
      <c r="V138" s="173"/>
      <c r="W138" s="173"/>
      <c r="X138" s="10"/>
      <c r="Y138" s="173"/>
      <c r="Z138" s="173"/>
      <c r="AA138" s="173"/>
      <c r="AB138" s="173"/>
      <c r="AC138" s="10"/>
      <c r="AD138" s="173"/>
      <c r="AE138" s="173"/>
      <c r="AF138" s="173"/>
      <c r="AG138" s="173"/>
      <c r="AH138" s="10"/>
      <c r="AI138" s="173"/>
      <c r="AJ138" s="173"/>
      <c r="AK138" s="173"/>
      <c r="AL138" s="173"/>
      <c r="AM138" s="173"/>
      <c r="AN138" s="173"/>
      <c r="AO138" s="173"/>
      <c r="AP138" s="173"/>
    </row>
    <row r="139" spans="1:42" ht="12.75" customHeight="1">
      <c r="A139" s="1001">
        <v>8</v>
      </c>
      <c r="B139" s="695" t="s">
        <v>806</v>
      </c>
      <c r="C139" s="696">
        <v>412</v>
      </c>
      <c r="D139" s="697">
        <v>0.3</v>
      </c>
      <c r="E139" s="698">
        <v>-0.3</v>
      </c>
      <c r="F139" s="1001">
        <v>8</v>
      </c>
      <c r="G139" s="695" t="s">
        <v>807</v>
      </c>
      <c r="H139" s="696">
        <v>410</v>
      </c>
      <c r="I139" s="697" t="s">
        <v>254</v>
      </c>
      <c r="J139" s="698" t="s">
        <v>254</v>
      </c>
      <c r="K139" s="1001">
        <v>8</v>
      </c>
      <c r="L139" s="695" t="s">
        <v>808</v>
      </c>
      <c r="M139" s="696">
        <v>378</v>
      </c>
      <c r="N139" s="697">
        <v>0</v>
      </c>
      <c r="O139" s="698">
        <v>0</v>
      </c>
      <c r="P139" s="692"/>
      <c r="Q139" s="173"/>
      <c r="R139" s="173"/>
      <c r="S139" s="173"/>
      <c r="T139" s="173"/>
      <c r="U139" s="173"/>
      <c r="V139" s="173"/>
      <c r="W139" s="173"/>
      <c r="X139" s="10"/>
      <c r="Y139" s="173"/>
      <c r="Z139" s="173"/>
      <c r="AA139" s="173"/>
      <c r="AB139" s="173"/>
      <c r="AC139" s="10"/>
      <c r="AD139" s="173"/>
      <c r="AE139" s="173"/>
      <c r="AF139" s="173"/>
      <c r="AG139" s="173"/>
      <c r="AH139" s="10"/>
      <c r="AI139" s="173"/>
      <c r="AJ139" s="173"/>
      <c r="AK139" s="173"/>
      <c r="AL139" s="173"/>
      <c r="AM139" s="173"/>
      <c r="AN139" s="173"/>
      <c r="AO139" s="173"/>
      <c r="AP139" s="173"/>
    </row>
    <row r="140" spans="1:42" ht="12.75" customHeight="1">
      <c r="A140" s="1002"/>
      <c r="B140" s="700" t="s">
        <v>809</v>
      </c>
      <c r="C140" s="701">
        <v>413</v>
      </c>
      <c r="D140" s="702">
        <v>-0.25</v>
      </c>
      <c r="E140" s="703">
        <v>0.3</v>
      </c>
      <c r="F140" s="1002"/>
      <c r="G140" s="700" t="s">
        <v>810</v>
      </c>
      <c r="H140" s="701">
        <v>421</v>
      </c>
      <c r="I140" s="702" t="s">
        <v>254</v>
      </c>
      <c r="J140" s="703" t="s">
        <v>254</v>
      </c>
      <c r="K140" s="1002"/>
      <c r="L140" s="700" t="s">
        <v>811</v>
      </c>
      <c r="M140" s="701">
        <v>384</v>
      </c>
      <c r="N140" s="702">
        <v>0</v>
      </c>
      <c r="O140" s="703">
        <v>0</v>
      </c>
      <c r="P140" s="692"/>
      <c r="Q140" s="173"/>
      <c r="R140" s="173"/>
      <c r="S140" s="173"/>
      <c r="T140" s="173"/>
      <c r="U140" s="173"/>
      <c r="V140" s="173"/>
      <c r="W140" s="173"/>
      <c r="X140" s="720"/>
      <c r="Y140" s="726"/>
      <c r="Z140" s="726"/>
      <c r="AA140" s="726"/>
      <c r="AB140" s="726"/>
      <c r="AC140" s="720"/>
      <c r="AD140" s="726"/>
      <c r="AE140" s="726"/>
      <c r="AF140" s="726"/>
      <c r="AG140" s="726"/>
      <c r="AH140" s="720"/>
      <c r="AI140" s="726"/>
      <c r="AJ140" s="726"/>
      <c r="AK140" s="726"/>
      <c r="AL140" s="726"/>
      <c r="AM140" s="173"/>
      <c r="AN140" s="173"/>
      <c r="AO140" s="173"/>
      <c r="AP140" s="173"/>
    </row>
    <row r="141" spans="1:42" ht="12.75" customHeight="1" thickBot="1">
      <c r="A141" s="1003"/>
      <c r="B141" s="704" t="s">
        <v>812</v>
      </c>
      <c r="C141" s="705">
        <v>419</v>
      </c>
      <c r="D141" s="706">
        <v>0.2</v>
      </c>
      <c r="E141" s="707">
        <v>-0.15</v>
      </c>
      <c r="F141" s="1003"/>
      <c r="G141" s="704" t="s">
        <v>813</v>
      </c>
      <c r="H141" s="705">
        <v>440</v>
      </c>
      <c r="I141" s="706">
        <v>0.3</v>
      </c>
      <c r="J141" s="707" t="s">
        <v>254</v>
      </c>
      <c r="K141" s="1003"/>
      <c r="L141" s="704" t="s">
        <v>814</v>
      </c>
      <c r="M141" s="705">
        <v>387</v>
      </c>
      <c r="N141" s="706">
        <v>0</v>
      </c>
      <c r="O141" s="707">
        <v>0</v>
      </c>
      <c r="P141" s="692"/>
      <c r="Q141" s="173"/>
      <c r="R141" s="173"/>
      <c r="S141" s="173"/>
      <c r="T141" s="173"/>
      <c r="U141" s="173"/>
      <c r="V141" s="173"/>
      <c r="W141" s="173"/>
      <c r="X141" s="720"/>
      <c r="Y141" s="726"/>
      <c r="Z141" s="726"/>
      <c r="AA141" s="726"/>
      <c r="AB141" s="726"/>
      <c r="AC141" s="720"/>
      <c r="AD141" s="726"/>
      <c r="AE141" s="726"/>
      <c r="AF141" s="726"/>
      <c r="AG141" s="726"/>
      <c r="AH141" s="720"/>
      <c r="AI141" s="726"/>
      <c r="AJ141" s="726"/>
      <c r="AK141" s="726"/>
      <c r="AL141" s="726"/>
      <c r="AM141" s="173"/>
      <c r="AN141" s="173"/>
      <c r="AO141" s="173"/>
      <c r="AP141" s="173"/>
    </row>
    <row r="142" spans="1:42" ht="12.75" customHeight="1">
      <c r="A142" s="1001">
        <v>9</v>
      </c>
      <c r="B142" s="715" t="s">
        <v>815</v>
      </c>
      <c r="C142" s="716">
        <v>274</v>
      </c>
      <c r="D142" s="717" t="s">
        <v>254</v>
      </c>
      <c r="E142" s="718" t="s">
        <v>254</v>
      </c>
      <c r="F142" s="1002">
        <v>9</v>
      </c>
      <c r="G142" s="715" t="s">
        <v>816</v>
      </c>
      <c r="H142" s="716">
        <v>487</v>
      </c>
      <c r="I142" s="717" t="s">
        <v>254</v>
      </c>
      <c r="J142" s="718" t="s">
        <v>254</v>
      </c>
      <c r="K142" s="1002">
        <v>9</v>
      </c>
      <c r="L142" s="715" t="s">
        <v>817</v>
      </c>
      <c r="M142" s="716">
        <v>475</v>
      </c>
      <c r="N142" s="717">
        <v>0</v>
      </c>
      <c r="O142" s="718">
        <v>0</v>
      </c>
      <c r="P142" s="692"/>
      <c r="Q142" s="173"/>
      <c r="R142" s="173"/>
      <c r="S142" s="173"/>
      <c r="T142" s="173"/>
      <c r="U142" s="173"/>
      <c r="V142" s="173"/>
      <c r="W142" s="173"/>
      <c r="X142" s="699"/>
      <c r="Y142" s="699"/>
      <c r="Z142" s="699"/>
      <c r="AA142" s="699"/>
      <c r="AB142" s="699"/>
      <c r="AC142" s="699"/>
      <c r="AD142" s="699"/>
      <c r="AE142" s="699"/>
      <c r="AF142" s="699"/>
      <c r="AG142" s="699"/>
      <c r="AH142" s="699"/>
      <c r="AI142" s="699"/>
      <c r="AJ142" s="699"/>
      <c r="AK142" s="699"/>
      <c r="AL142" s="699"/>
      <c r="AM142" s="173"/>
      <c r="AN142" s="173"/>
      <c r="AO142" s="173"/>
      <c r="AP142" s="173"/>
    </row>
    <row r="143" spans="1:42" ht="12.75" customHeight="1">
      <c r="A143" s="1002"/>
      <c r="B143" s="700" t="s">
        <v>818</v>
      </c>
      <c r="C143" s="701">
        <v>284</v>
      </c>
      <c r="D143" s="702">
        <v>0</v>
      </c>
      <c r="E143" s="703">
        <v>0</v>
      </c>
      <c r="F143" s="1002"/>
      <c r="G143" s="700" t="s">
        <v>819</v>
      </c>
      <c r="H143" s="701">
        <v>492</v>
      </c>
      <c r="I143" s="702" t="s">
        <v>254</v>
      </c>
      <c r="J143" s="703" t="s">
        <v>254</v>
      </c>
      <c r="K143" s="1002"/>
      <c r="L143" s="700" t="s">
        <v>820</v>
      </c>
      <c r="M143" s="701">
        <v>483</v>
      </c>
      <c r="N143" s="702">
        <v>0</v>
      </c>
      <c r="O143" s="703">
        <v>0</v>
      </c>
      <c r="P143" s="692"/>
      <c r="Q143" s="173"/>
      <c r="R143" s="173"/>
      <c r="S143" s="173"/>
      <c r="T143" s="173"/>
      <c r="U143" s="173"/>
      <c r="V143" s="173"/>
      <c r="W143" s="173"/>
      <c r="X143" s="10"/>
      <c r="Y143" s="173"/>
      <c r="Z143" s="173"/>
      <c r="AA143" s="173"/>
      <c r="AB143" s="173"/>
      <c r="AC143" s="10"/>
      <c r="AD143" s="173"/>
      <c r="AE143" s="173"/>
      <c r="AF143" s="173"/>
      <c r="AG143" s="173"/>
      <c r="AH143" s="10"/>
      <c r="AI143" s="173"/>
      <c r="AJ143" s="173"/>
      <c r="AK143" s="173"/>
      <c r="AL143" s="173"/>
      <c r="AM143" s="173"/>
      <c r="AN143" s="173"/>
      <c r="AO143" s="173"/>
      <c r="AP143" s="173"/>
    </row>
    <row r="144" spans="1:42" ht="12.75" customHeight="1" thickBot="1">
      <c r="A144" s="1003"/>
      <c r="B144" s="708" t="s">
        <v>821</v>
      </c>
      <c r="C144" s="709">
        <v>284</v>
      </c>
      <c r="D144" s="710">
        <v>0.15</v>
      </c>
      <c r="E144" s="711">
        <v>-0.15</v>
      </c>
      <c r="F144" s="1002"/>
      <c r="G144" s="708" t="s">
        <v>822</v>
      </c>
      <c r="H144" s="709">
        <v>499</v>
      </c>
      <c r="I144" s="710" t="s">
        <v>254</v>
      </c>
      <c r="J144" s="711">
        <v>0</v>
      </c>
      <c r="K144" s="1002"/>
      <c r="L144" s="708" t="s">
        <v>823</v>
      </c>
      <c r="M144" s="709">
        <v>485</v>
      </c>
      <c r="N144" s="710">
        <v>0</v>
      </c>
      <c r="O144" s="711">
        <v>0</v>
      </c>
      <c r="P144" s="692"/>
      <c r="Q144" s="173"/>
      <c r="R144" s="173"/>
      <c r="S144" s="173"/>
      <c r="T144" s="173"/>
      <c r="U144" s="173"/>
      <c r="V144" s="173"/>
      <c r="W144" s="173"/>
      <c r="X144" s="10"/>
      <c r="Y144" s="173"/>
      <c r="Z144" s="173"/>
      <c r="AA144" s="173"/>
      <c r="AB144" s="173"/>
      <c r="AC144" s="10"/>
      <c r="AD144" s="173"/>
      <c r="AE144" s="173"/>
      <c r="AF144" s="173"/>
      <c r="AG144" s="173"/>
      <c r="AH144" s="10"/>
      <c r="AI144" s="173"/>
      <c r="AJ144" s="173"/>
      <c r="AK144" s="173"/>
      <c r="AL144" s="173"/>
      <c r="AM144" s="173"/>
      <c r="AN144" s="173"/>
      <c r="AO144" s="173"/>
      <c r="AP144" s="173"/>
    </row>
    <row r="145" spans="1:42" ht="12.75" customHeight="1">
      <c r="A145" s="1001">
        <v>10</v>
      </c>
      <c r="B145" s="695" t="s">
        <v>824</v>
      </c>
      <c r="C145" s="696">
        <v>226</v>
      </c>
      <c r="D145" s="697">
        <v>0</v>
      </c>
      <c r="E145" s="698">
        <v>0</v>
      </c>
      <c r="F145" s="1001">
        <v>10</v>
      </c>
      <c r="G145" s="695" t="s">
        <v>825</v>
      </c>
      <c r="H145" s="696">
        <v>384</v>
      </c>
      <c r="I145" s="697">
        <v>-0.25</v>
      </c>
      <c r="J145" s="698">
        <v>0.1</v>
      </c>
      <c r="K145" s="1001">
        <v>10</v>
      </c>
      <c r="L145" s="695" t="s">
        <v>826</v>
      </c>
      <c r="M145" s="696">
        <v>406</v>
      </c>
      <c r="N145" s="697">
        <v>-0.8</v>
      </c>
      <c r="O145" s="698">
        <v>0.75</v>
      </c>
      <c r="P145" s="692"/>
      <c r="Q145" s="173"/>
      <c r="R145" s="173"/>
      <c r="S145" s="173"/>
      <c r="T145" s="173"/>
      <c r="U145" s="173"/>
      <c r="V145" s="173"/>
      <c r="W145" s="173"/>
      <c r="X145" s="10"/>
      <c r="Y145" s="173"/>
      <c r="Z145" s="173"/>
      <c r="AA145" s="173"/>
      <c r="AB145" s="173"/>
      <c r="AC145" s="10"/>
      <c r="AD145" s="173"/>
      <c r="AE145" s="173"/>
      <c r="AF145" s="173"/>
      <c r="AG145" s="173"/>
      <c r="AH145" s="10"/>
      <c r="AI145" s="173"/>
      <c r="AJ145" s="173"/>
      <c r="AK145" s="173"/>
      <c r="AL145" s="173"/>
      <c r="AM145" s="173"/>
      <c r="AN145" s="173"/>
      <c r="AO145" s="173"/>
      <c r="AP145" s="173"/>
    </row>
    <row r="146" spans="1:42" ht="12.75" customHeight="1">
      <c r="A146" s="1002"/>
      <c r="B146" s="700" t="s">
        <v>827</v>
      </c>
      <c r="C146" s="701">
        <v>230</v>
      </c>
      <c r="D146" s="702">
        <v>0</v>
      </c>
      <c r="E146" s="703">
        <v>-0.05</v>
      </c>
      <c r="F146" s="1002"/>
      <c r="G146" s="700" t="s">
        <v>828</v>
      </c>
      <c r="H146" s="701">
        <v>387</v>
      </c>
      <c r="I146" s="702">
        <v>0</v>
      </c>
      <c r="J146" s="703">
        <v>-0.1</v>
      </c>
      <c r="K146" s="1002"/>
      <c r="L146" s="700" t="s">
        <v>829</v>
      </c>
      <c r="M146" s="701">
        <v>420</v>
      </c>
      <c r="N146" s="702">
        <v>-0.8</v>
      </c>
      <c r="O146" s="703">
        <v>0.75</v>
      </c>
      <c r="P146" s="692"/>
      <c r="Q146" s="173"/>
      <c r="R146" s="173"/>
      <c r="S146" s="173"/>
      <c r="T146" s="173"/>
      <c r="U146" s="173"/>
      <c r="V146" s="173"/>
      <c r="W146" s="173"/>
      <c r="X146" s="10"/>
      <c r="Y146" s="173"/>
      <c r="Z146" s="173"/>
      <c r="AA146" s="173"/>
      <c r="AB146" s="173"/>
      <c r="AC146" s="10"/>
      <c r="AD146" s="173"/>
      <c r="AE146" s="173"/>
      <c r="AF146" s="173"/>
      <c r="AG146" s="173"/>
      <c r="AH146" s="10"/>
      <c r="AI146" s="173"/>
      <c r="AJ146" s="173"/>
      <c r="AK146" s="173"/>
      <c r="AL146" s="173"/>
      <c r="AM146" s="173"/>
      <c r="AN146" s="173"/>
      <c r="AO146" s="173"/>
      <c r="AP146" s="173"/>
    </row>
    <row r="147" spans="1:42" ht="12.75" customHeight="1" thickBot="1">
      <c r="A147" s="1003"/>
      <c r="B147" s="704" t="s">
        <v>830</v>
      </c>
      <c r="C147" s="705">
        <v>233</v>
      </c>
      <c r="D147" s="706">
        <v>0</v>
      </c>
      <c r="E147" s="707">
        <v>0</v>
      </c>
      <c r="F147" s="1003"/>
      <c r="G147" s="704" t="s">
        <v>831</v>
      </c>
      <c r="H147" s="705">
        <v>398</v>
      </c>
      <c r="I147" s="706">
        <v>0.25</v>
      </c>
      <c r="J147" s="707">
        <v>-0.25</v>
      </c>
      <c r="K147" s="1003"/>
      <c r="L147" s="704" t="s">
        <v>832</v>
      </c>
      <c r="M147" s="705">
        <v>428</v>
      </c>
      <c r="N147" s="706">
        <v>-0.8</v>
      </c>
      <c r="O147" s="707">
        <v>0.75</v>
      </c>
      <c r="P147" s="692"/>
      <c r="Q147" s="173"/>
      <c r="R147" s="173"/>
      <c r="S147" s="173"/>
      <c r="T147" s="173"/>
      <c r="U147" s="173"/>
      <c r="V147" s="173"/>
      <c r="W147" s="173"/>
      <c r="X147" s="10"/>
      <c r="Y147" s="173"/>
      <c r="Z147" s="173"/>
      <c r="AA147" s="173"/>
      <c r="AB147" s="173"/>
      <c r="AC147" s="10"/>
      <c r="AD147" s="173"/>
      <c r="AE147" s="173"/>
      <c r="AF147" s="173"/>
      <c r="AG147" s="173"/>
      <c r="AH147" s="10"/>
      <c r="AI147" s="173"/>
      <c r="AJ147" s="173"/>
      <c r="AK147" s="173"/>
      <c r="AL147" s="173"/>
      <c r="AM147" s="173"/>
      <c r="AN147" s="173"/>
      <c r="AO147" s="173"/>
      <c r="AP147" s="173"/>
    </row>
    <row r="148" spans="1:42" ht="12.75" customHeight="1">
      <c r="A148" s="1001">
        <v>11</v>
      </c>
      <c r="B148" s="715" t="s">
        <v>833</v>
      </c>
      <c r="C148" s="716">
        <v>438</v>
      </c>
      <c r="D148" s="717">
        <v>0.3</v>
      </c>
      <c r="E148" s="718" t="s">
        <v>254</v>
      </c>
      <c r="F148" s="1002">
        <v>11</v>
      </c>
      <c r="G148" s="715" t="s">
        <v>834</v>
      </c>
      <c r="H148" s="716">
        <v>584</v>
      </c>
      <c r="I148" s="717" t="s">
        <v>254</v>
      </c>
      <c r="J148" s="718" t="s">
        <v>254</v>
      </c>
      <c r="K148" s="1002">
        <v>11</v>
      </c>
      <c r="L148" s="715" t="s">
        <v>835</v>
      </c>
      <c r="M148" s="716">
        <v>368</v>
      </c>
      <c r="N148" s="717" t="s">
        <v>254</v>
      </c>
      <c r="O148" s="718" t="s">
        <v>254</v>
      </c>
      <c r="P148" s="692"/>
      <c r="Q148" s="173"/>
      <c r="R148" s="173"/>
      <c r="S148" s="173"/>
      <c r="T148" s="173"/>
      <c r="U148" s="173"/>
      <c r="V148" s="173"/>
      <c r="W148" s="173"/>
      <c r="X148" s="10"/>
      <c r="Y148" s="173"/>
      <c r="Z148" s="173"/>
      <c r="AA148" s="173"/>
      <c r="AB148" s="173"/>
      <c r="AC148" s="10"/>
      <c r="AD148" s="173"/>
      <c r="AE148" s="173"/>
      <c r="AF148" s="173"/>
      <c r="AG148" s="173"/>
      <c r="AH148" s="10"/>
      <c r="AI148" s="173"/>
      <c r="AJ148" s="173"/>
      <c r="AK148" s="173"/>
      <c r="AL148" s="173"/>
      <c r="AM148" s="173"/>
      <c r="AN148" s="173"/>
      <c r="AO148" s="173"/>
      <c r="AP148" s="173"/>
    </row>
    <row r="149" spans="1:42" ht="12.75" customHeight="1">
      <c r="A149" s="1002"/>
      <c r="B149" s="700" t="s">
        <v>836</v>
      </c>
      <c r="C149" s="701">
        <v>444</v>
      </c>
      <c r="D149" s="702">
        <v>0.2</v>
      </c>
      <c r="E149" s="703">
        <v>-0.2</v>
      </c>
      <c r="F149" s="1002"/>
      <c r="G149" s="700" t="s">
        <v>837</v>
      </c>
      <c r="H149" s="701">
        <v>588</v>
      </c>
      <c r="I149" s="702">
        <v>0.15</v>
      </c>
      <c r="J149" s="703">
        <v>-0.15</v>
      </c>
      <c r="K149" s="1002"/>
      <c r="L149" s="700" t="s">
        <v>838</v>
      </c>
      <c r="M149" s="701">
        <v>386</v>
      </c>
      <c r="N149" s="702">
        <v>-0.15</v>
      </c>
      <c r="O149" s="703">
        <v>0.15</v>
      </c>
      <c r="P149" s="692"/>
      <c r="Q149" s="173"/>
      <c r="R149" s="173"/>
      <c r="S149" s="173"/>
      <c r="T149" s="173"/>
      <c r="U149" s="173"/>
      <c r="V149" s="173"/>
      <c r="W149" s="173"/>
      <c r="X149" s="10"/>
      <c r="Y149" s="173"/>
      <c r="Z149" s="173"/>
      <c r="AA149" s="173"/>
      <c r="AB149" s="173"/>
      <c r="AC149" s="10"/>
      <c r="AD149" s="173"/>
      <c r="AE149" s="173"/>
      <c r="AF149" s="173"/>
      <c r="AG149" s="173"/>
      <c r="AH149" s="10"/>
      <c r="AI149" s="173"/>
      <c r="AJ149" s="173"/>
      <c r="AK149" s="173"/>
      <c r="AL149" s="173"/>
      <c r="AM149" s="173"/>
      <c r="AN149" s="173"/>
      <c r="AO149" s="173"/>
      <c r="AP149" s="173"/>
    </row>
    <row r="150" spans="1:42" ht="12.75" customHeight="1" thickBot="1">
      <c r="A150" s="1003"/>
      <c r="B150" s="708" t="s">
        <v>839</v>
      </c>
      <c r="C150" s="709">
        <v>445</v>
      </c>
      <c r="D150" s="710">
        <v>0.5</v>
      </c>
      <c r="E150" s="711" t="s">
        <v>254</v>
      </c>
      <c r="F150" s="1002"/>
      <c r="G150" s="708" t="s">
        <v>840</v>
      </c>
      <c r="H150" s="709">
        <v>591</v>
      </c>
      <c r="I150" s="710">
        <v>0.2</v>
      </c>
      <c r="J150" s="711">
        <v>-0.2</v>
      </c>
      <c r="K150" s="1002"/>
      <c r="L150" s="708" t="s">
        <v>841</v>
      </c>
      <c r="M150" s="709">
        <v>388</v>
      </c>
      <c r="N150" s="710">
        <v>0</v>
      </c>
      <c r="O150" s="711">
        <v>0</v>
      </c>
      <c r="P150" s="692"/>
      <c r="Q150" s="173"/>
      <c r="R150" s="173"/>
      <c r="S150" s="173"/>
      <c r="T150" s="173"/>
      <c r="U150" s="173"/>
      <c r="V150" s="173"/>
      <c r="W150" s="173"/>
      <c r="X150" s="10"/>
      <c r="Y150" s="173"/>
      <c r="Z150" s="173"/>
      <c r="AA150" s="173"/>
      <c r="AB150" s="173"/>
      <c r="AC150" s="10"/>
      <c r="AD150" s="173"/>
      <c r="AE150" s="173"/>
      <c r="AF150" s="173"/>
      <c r="AG150" s="173"/>
      <c r="AH150" s="10"/>
      <c r="AI150" s="173"/>
      <c r="AJ150" s="173"/>
      <c r="AK150" s="173"/>
      <c r="AL150" s="173"/>
      <c r="AM150" s="173"/>
      <c r="AN150" s="173"/>
      <c r="AO150" s="173"/>
      <c r="AP150" s="173"/>
    </row>
    <row r="151" spans="1:42" ht="12.75" customHeight="1">
      <c r="A151" s="1001">
        <v>12</v>
      </c>
      <c r="B151" s="695" t="s">
        <v>842</v>
      </c>
      <c r="C151" s="696">
        <v>378</v>
      </c>
      <c r="D151" s="697" t="s">
        <v>254</v>
      </c>
      <c r="E151" s="698">
        <v>-0.15</v>
      </c>
      <c r="F151" s="1001">
        <v>12</v>
      </c>
      <c r="G151" s="695" t="s">
        <v>843</v>
      </c>
      <c r="H151" s="696">
        <v>443</v>
      </c>
      <c r="I151" s="697" t="s">
        <v>254</v>
      </c>
      <c r="J151" s="698" t="s">
        <v>254</v>
      </c>
      <c r="K151" s="1001">
        <v>12</v>
      </c>
      <c r="L151" s="695" t="s">
        <v>844</v>
      </c>
      <c r="M151" s="696">
        <v>495</v>
      </c>
      <c r="N151" s="697">
        <v>0</v>
      </c>
      <c r="O151" s="698">
        <v>0</v>
      </c>
      <c r="P151" s="692"/>
      <c r="Q151" s="173"/>
      <c r="R151" s="173"/>
      <c r="S151" s="173"/>
      <c r="T151" s="173"/>
      <c r="U151" s="173"/>
      <c r="V151" s="173"/>
      <c r="W151" s="173"/>
      <c r="X151" s="10"/>
      <c r="Y151" s="173"/>
      <c r="Z151" s="173"/>
      <c r="AA151" s="173"/>
      <c r="AB151" s="173"/>
      <c r="AC151" s="10"/>
      <c r="AD151" s="173"/>
      <c r="AE151" s="173"/>
      <c r="AF151" s="173"/>
      <c r="AG151" s="173"/>
      <c r="AH151" s="10"/>
      <c r="AI151" s="173"/>
      <c r="AJ151" s="173"/>
      <c r="AK151" s="173"/>
      <c r="AL151" s="173"/>
      <c r="AM151" s="173"/>
      <c r="AN151" s="173"/>
      <c r="AO151" s="173"/>
      <c r="AP151" s="173"/>
    </row>
    <row r="152" spans="1:42" ht="12.75" customHeight="1">
      <c r="A152" s="1002"/>
      <c r="B152" s="700" t="s">
        <v>845</v>
      </c>
      <c r="C152" s="701">
        <v>387</v>
      </c>
      <c r="D152" s="702">
        <v>0.2</v>
      </c>
      <c r="E152" s="703">
        <v>-0.2</v>
      </c>
      <c r="F152" s="1002"/>
      <c r="G152" s="700" t="s">
        <v>846</v>
      </c>
      <c r="H152" s="701">
        <v>447</v>
      </c>
      <c r="I152" s="702">
        <v>-0.3</v>
      </c>
      <c r="J152" s="703">
        <v>0.3</v>
      </c>
      <c r="K152" s="1002"/>
      <c r="L152" s="700" t="s">
        <v>847</v>
      </c>
      <c r="M152" s="701">
        <v>504</v>
      </c>
      <c r="N152" s="702">
        <v>0</v>
      </c>
      <c r="O152" s="703">
        <v>0</v>
      </c>
      <c r="P152" s="692"/>
      <c r="Q152" s="173"/>
      <c r="R152" s="173"/>
      <c r="S152" s="173"/>
      <c r="T152" s="173"/>
      <c r="U152" s="173"/>
      <c r="V152" s="173"/>
      <c r="W152" s="173"/>
      <c r="X152" s="10"/>
      <c r="Y152" s="173"/>
      <c r="Z152" s="173"/>
      <c r="AA152" s="173"/>
      <c r="AB152" s="173"/>
      <c r="AC152" s="10"/>
      <c r="AD152" s="173"/>
      <c r="AE152" s="173"/>
      <c r="AF152" s="173"/>
      <c r="AG152" s="173"/>
      <c r="AH152" s="10"/>
      <c r="AI152" s="173"/>
      <c r="AJ152" s="173"/>
      <c r="AK152" s="173"/>
      <c r="AL152" s="173"/>
      <c r="AM152" s="173"/>
      <c r="AN152" s="173"/>
      <c r="AO152" s="173"/>
      <c r="AP152" s="173"/>
    </row>
    <row r="153" spans="1:42" ht="12.75" customHeight="1" thickBot="1">
      <c r="A153" s="1003"/>
      <c r="B153" s="704" t="s">
        <v>848</v>
      </c>
      <c r="C153" s="705">
        <v>391</v>
      </c>
      <c r="D153" s="706">
        <v>0.15</v>
      </c>
      <c r="E153" s="707">
        <v>-0.15</v>
      </c>
      <c r="F153" s="1003"/>
      <c r="G153" s="704" t="s">
        <v>849</v>
      </c>
      <c r="H153" s="705">
        <v>452</v>
      </c>
      <c r="I153" s="706">
        <v>-0.2</v>
      </c>
      <c r="J153" s="707">
        <v>0.2</v>
      </c>
      <c r="K153" s="1003"/>
      <c r="L153" s="704" t="s">
        <v>850</v>
      </c>
      <c r="M153" s="705">
        <v>507</v>
      </c>
      <c r="N153" s="706">
        <v>0</v>
      </c>
      <c r="O153" s="707">
        <v>0</v>
      </c>
      <c r="P153" s="692"/>
      <c r="Q153" s="173"/>
      <c r="R153" s="173"/>
      <c r="S153" s="173"/>
      <c r="T153" s="173"/>
      <c r="U153" s="173"/>
      <c r="V153" s="173"/>
      <c r="W153" s="173"/>
      <c r="X153" s="10"/>
      <c r="Y153" s="173"/>
      <c r="Z153" s="173"/>
      <c r="AA153" s="173"/>
      <c r="AB153" s="173"/>
      <c r="AC153" s="10"/>
      <c r="AD153" s="173"/>
      <c r="AE153" s="173"/>
      <c r="AF153" s="173"/>
      <c r="AG153" s="173"/>
      <c r="AH153" s="10"/>
      <c r="AI153" s="173"/>
      <c r="AJ153" s="173"/>
      <c r="AK153" s="173"/>
      <c r="AL153" s="173"/>
      <c r="AM153" s="173"/>
      <c r="AN153" s="173"/>
      <c r="AO153" s="173"/>
      <c r="AP153" s="173"/>
    </row>
    <row r="154" spans="1:42" ht="12.75" customHeight="1">
      <c r="A154" s="1001">
        <v>13</v>
      </c>
      <c r="B154" s="715" t="s">
        <v>851</v>
      </c>
      <c r="C154" s="716">
        <v>473</v>
      </c>
      <c r="D154" s="717" t="s">
        <v>254</v>
      </c>
      <c r="E154" s="718" t="s">
        <v>254</v>
      </c>
      <c r="F154" s="1002">
        <v>13</v>
      </c>
      <c r="G154" s="715" t="s">
        <v>852</v>
      </c>
      <c r="H154" s="716">
        <v>224</v>
      </c>
      <c r="I154" s="717" t="s">
        <v>254</v>
      </c>
      <c r="J154" s="718" t="s">
        <v>254</v>
      </c>
      <c r="K154" s="1002">
        <v>13</v>
      </c>
      <c r="L154" s="715" t="s">
        <v>853</v>
      </c>
      <c r="M154" s="716">
        <v>169</v>
      </c>
      <c r="N154" s="717" t="s">
        <v>254</v>
      </c>
      <c r="O154" s="718" t="s">
        <v>254</v>
      </c>
      <c r="P154" s="692"/>
      <c r="Q154" s="173"/>
      <c r="R154" s="173"/>
      <c r="S154" s="173"/>
      <c r="T154" s="173"/>
      <c r="U154" s="173"/>
      <c r="V154" s="173"/>
      <c r="W154" s="173"/>
      <c r="X154" s="10"/>
      <c r="Y154" s="173"/>
      <c r="Z154" s="173"/>
      <c r="AA154" s="173"/>
      <c r="AB154" s="173"/>
      <c r="AC154" s="10"/>
      <c r="AD154" s="173"/>
      <c r="AE154" s="173"/>
      <c r="AF154" s="173"/>
      <c r="AG154" s="173"/>
      <c r="AH154" s="10"/>
      <c r="AI154" s="173"/>
      <c r="AJ154" s="173"/>
      <c r="AK154" s="173"/>
      <c r="AL154" s="173"/>
      <c r="AM154" s="173"/>
      <c r="AN154" s="173"/>
      <c r="AO154" s="173"/>
      <c r="AP154" s="173"/>
    </row>
    <row r="155" spans="1:42" ht="12.75" customHeight="1">
      <c r="A155" s="1002"/>
      <c r="B155" s="700" t="s">
        <v>854</v>
      </c>
      <c r="C155" s="701">
        <v>482</v>
      </c>
      <c r="D155" s="702" t="s">
        <v>254</v>
      </c>
      <c r="E155" s="703" t="s">
        <v>254</v>
      </c>
      <c r="F155" s="1002"/>
      <c r="G155" s="700" t="s">
        <v>855</v>
      </c>
      <c r="H155" s="701">
        <v>227</v>
      </c>
      <c r="I155" s="702">
        <v>1.4</v>
      </c>
      <c r="J155" s="703" t="s">
        <v>254</v>
      </c>
      <c r="K155" s="1002"/>
      <c r="L155" s="700" t="s">
        <v>856</v>
      </c>
      <c r="M155" s="701">
        <v>182</v>
      </c>
      <c r="N155" s="702">
        <v>0.1</v>
      </c>
      <c r="O155" s="703">
        <v>-0.1</v>
      </c>
      <c r="P155" s="692"/>
      <c r="Q155" s="173"/>
      <c r="R155" s="173"/>
      <c r="S155" s="173"/>
      <c r="T155" s="173"/>
      <c r="U155" s="173"/>
      <c r="V155" s="173"/>
      <c r="W155" s="173"/>
      <c r="X155" s="10"/>
      <c r="Y155" s="173"/>
      <c r="Z155" s="173"/>
      <c r="AA155" s="173"/>
      <c r="AB155" s="173"/>
      <c r="AC155" s="10"/>
      <c r="AD155" s="173"/>
      <c r="AE155" s="173"/>
      <c r="AF155" s="173"/>
      <c r="AG155" s="173"/>
      <c r="AH155" s="10"/>
      <c r="AI155" s="173"/>
      <c r="AJ155" s="173"/>
      <c r="AK155" s="173"/>
      <c r="AL155" s="173"/>
      <c r="AM155" s="173"/>
      <c r="AN155" s="173"/>
      <c r="AO155" s="173"/>
      <c r="AP155" s="173"/>
    </row>
    <row r="156" spans="1:42" ht="12.75" customHeight="1" thickBot="1">
      <c r="A156" s="1003"/>
      <c r="B156" s="708" t="s">
        <v>857</v>
      </c>
      <c r="C156" s="709">
        <v>485</v>
      </c>
      <c r="D156" s="710" t="s">
        <v>254</v>
      </c>
      <c r="E156" s="711" t="s">
        <v>254</v>
      </c>
      <c r="F156" s="1002"/>
      <c r="G156" s="708" t="s">
        <v>858</v>
      </c>
      <c r="H156" s="709">
        <v>236</v>
      </c>
      <c r="I156" s="710">
        <v>0.65</v>
      </c>
      <c r="J156" s="711">
        <v>-0.65</v>
      </c>
      <c r="K156" s="1002"/>
      <c r="L156" s="708" t="s">
        <v>859</v>
      </c>
      <c r="M156" s="709">
        <v>191</v>
      </c>
      <c r="N156" s="710" t="s">
        <v>254</v>
      </c>
      <c r="O156" s="711" t="s">
        <v>254</v>
      </c>
      <c r="P156" s="692"/>
      <c r="Q156" s="173"/>
      <c r="R156" s="173"/>
      <c r="S156" s="173"/>
      <c r="T156" s="173"/>
      <c r="U156" s="173"/>
      <c r="V156" s="173"/>
      <c r="W156" s="173"/>
      <c r="X156" s="10"/>
      <c r="Y156" s="173"/>
      <c r="Z156" s="173"/>
      <c r="AA156" s="173"/>
      <c r="AB156" s="173"/>
      <c r="AC156" s="10"/>
      <c r="AD156" s="173"/>
      <c r="AE156" s="173"/>
      <c r="AF156" s="173"/>
      <c r="AG156" s="173"/>
      <c r="AH156" s="10"/>
      <c r="AI156" s="173"/>
      <c r="AJ156" s="173"/>
      <c r="AK156" s="173"/>
      <c r="AL156" s="173"/>
      <c r="AM156" s="173"/>
      <c r="AN156" s="173"/>
      <c r="AO156" s="173"/>
      <c r="AP156" s="173"/>
    </row>
    <row r="157" spans="1:42" ht="12.75" customHeight="1">
      <c r="A157" s="1001">
        <v>14</v>
      </c>
      <c r="B157" s="695" t="s">
        <v>860</v>
      </c>
      <c r="C157" s="696">
        <v>414</v>
      </c>
      <c r="D157" s="697">
        <v>-0.1</v>
      </c>
      <c r="E157" s="698">
        <v>0.1</v>
      </c>
      <c r="F157" s="1001">
        <v>14</v>
      </c>
      <c r="G157" s="695" t="s">
        <v>861</v>
      </c>
      <c r="H157" s="696">
        <v>354</v>
      </c>
      <c r="I157" s="697">
        <v>0.35</v>
      </c>
      <c r="J157" s="698">
        <v>-0.35</v>
      </c>
      <c r="K157" s="1001">
        <v>14</v>
      </c>
      <c r="L157" s="695" t="s">
        <v>862</v>
      </c>
      <c r="M157" s="696">
        <v>541</v>
      </c>
      <c r="N157" s="697">
        <v>0.1</v>
      </c>
      <c r="O157" s="698">
        <v>-0.1</v>
      </c>
      <c r="P157" s="692"/>
      <c r="Q157" s="173"/>
      <c r="R157" s="173"/>
      <c r="S157" s="173"/>
      <c r="T157" s="173"/>
      <c r="U157" s="173"/>
      <c r="V157" s="173"/>
      <c r="W157" s="173"/>
      <c r="X157" s="10"/>
      <c r="Y157" s="173"/>
      <c r="Z157" s="173"/>
      <c r="AA157" s="173"/>
      <c r="AB157" s="173"/>
      <c r="AC157" s="10"/>
      <c r="AD157" s="173"/>
      <c r="AE157" s="173"/>
      <c r="AF157" s="173"/>
      <c r="AG157" s="173"/>
      <c r="AH157" s="10"/>
      <c r="AI157" s="173"/>
      <c r="AJ157" s="173"/>
      <c r="AK157" s="173"/>
      <c r="AL157" s="173"/>
      <c r="AM157" s="173"/>
      <c r="AN157" s="173"/>
      <c r="AO157" s="173"/>
      <c r="AP157" s="173"/>
    </row>
    <row r="158" spans="1:42" ht="12.75" customHeight="1">
      <c r="A158" s="1002"/>
      <c r="B158" s="700" t="s">
        <v>863</v>
      </c>
      <c r="C158" s="701">
        <v>417</v>
      </c>
      <c r="D158" s="702">
        <v>-0.3</v>
      </c>
      <c r="E158" s="703">
        <v>0.3</v>
      </c>
      <c r="F158" s="1002"/>
      <c r="G158" s="700" t="s">
        <v>864</v>
      </c>
      <c r="H158" s="701">
        <v>372</v>
      </c>
      <c r="I158" s="702">
        <v>-0.2</v>
      </c>
      <c r="J158" s="703">
        <v>0.2</v>
      </c>
      <c r="K158" s="1002"/>
      <c r="L158" s="700" t="s">
        <v>865</v>
      </c>
      <c r="M158" s="701">
        <v>554</v>
      </c>
      <c r="N158" s="702">
        <v>0.15</v>
      </c>
      <c r="O158" s="703">
        <v>-0.15</v>
      </c>
      <c r="P158" s="692"/>
      <c r="Q158" s="173"/>
      <c r="R158" s="173"/>
      <c r="S158" s="173"/>
      <c r="T158" s="173"/>
      <c r="U158" s="173"/>
      <c r="V158" s="173"/>
      <c r="W158" s="173"/>
      <c r="X158" s="10"/>
      <c r="Y158" s="173"/>
      <c r="Z158" s="173"/>
      <c r="AA158" s="173"/>
      <c r="AB158" s="173"/>
      <c r="AC158" s="10"/>
      <c r="AD158" s="173"/>
      <c r="AE158" s="173"/>
      <c r="AF158" s="173"/>
      <c r="AG158" s="173"/>
      <c r="AH158" s="10"/>
      <c r="AI158" s="173"/>
      <c r="AJ158" s="173"/>
      <c r="AK158" s="173"/>
      <c r="AL158" s="173"/>
      <c r="AM158" s="173"/>
      <c r="AN158" s="173"/>
      <c r="AO158" s="173"/>
      <c r="AP158" s="173"/>
    </row>
    <row r="159" spans="1:42" ht="12.75" customHeight="1" thickBot="1">
      <c r="A159" s="1003"/>
      <c r="B159" s="704" t="s">
        <v>866</v>
      </c>
      <c r="C159" s="705">
        <v>423</v>
      </c>
      <c r="D159" s="706">
        <v>-0.2</v>
      </c>
      <c r="E159" s="707">
        <v>0.2</v>
      </c>
      <c r="F159" s="1003"/>
      <c r="G159" s="704" t="s">
        <v>867</v>
      </c>
      <c r="H159" s="705">
        <v>384</v>
      </c>
      <c r="I159" s="706">
        <v>-0.45</v>
      </c>
      <c r="J159" s="707">
        <v>0.45</v>
      </c>
      <c r="K159" s="1003"/>
      <c r="L159" s="704" t="s">
        <v>868</v>
      </c>
      <c r="M159" s="705">
        <v>558</v>
      </c>
      <c r="N159" s="706">
        <v>0.15</v>
      </c>
      <c r="O159" s="707">
        <v>-0.15</v>
      </c>
      <c r="P159" s="692"/>
      <c r="Q159" s="173"/>
      <c r="R159" s="173"/>
      <c r="S159" s="173"/>
      <c r="T159" s="173"/>
      <c r="U159" s="173"/>
      <c r="V159" s="173"/>
      <c r="W159" s="173"/>
      <c r="X159" s="10"/>
      <c r="Y159" s="173"/>
      <c r="Z159" s="173"/>
      <c r="AA159" s="173"/>
      <c r="AB159" s="173"/>
      <c r="AC159" s="10"/>
      <c r="AD159" s="173"/>
      <c r="AE159" s="173"/>
      <c r="AF159" s="173"/>
      <c r="AG159" s="173"/>
      <c r="AH159" s="10"/>
      <c r="AI159" s="173"/>
      <c r="AJ159" s="173"/>
      <c r="AK159" s="173"/>
      <c r="AL159" s="173"/>
      <c r="AM159" s="173"/>
      <c r="AN159" s="173"/>
      <c r="AO159" s="173"/>
      <c r="AP159" s="173"/>
    </row>
    <row r="160" spans="1:42" ht="12.75" customHeight="1">
      <c r="A160" s="1001">
        <v>15</v>
      </c>
      <c r="B160" s="715" t="s">
        <v>869</v>
      </c>
      <c r="C160" s="716">
        <v>354</v>
      </c>
      <c r="D160" s="717" t="s">
        <v>254</v>
      </c>
      <c r="E160" s="718" t="s">
        <v>254</v>
      </c>
      <c r="F160" s="1002">
        <v>15</v>
      </c>
      <c r="G160" s="715" t="s">
        <v>870</v>
      </c>
      <c r="H160" s="716">
        <v>413</v>
      </c>
      <c r="I160" s="717" t="s">
        <v>254</v>
      </c>
      <c r="J160" s="718" t="s">
        <v>254</v>
      </c>
      <c r="K160" s="1002">
        <v>15</v>
      </c>
      <c r="L160" s="715" t="s">
        <v>871</v>
      </c>
      <c r="M160" s="716">
        <v>391</v>
      </c>
      <c r="N160" s="717">
        <v>-0.4</v>
      </c>
      <c r="O160" s="718">
        <v>0.4</v>
      </c>
      <c r="P160" s="692"/>
      <c r="Q160" s="173"/>
      <c r="R160" s="173"/>
      <c r="S160" s="173"/>
      <c r="T160" s="173"/>
      <c r="U160" s="173"/>
      <c r="V160" s="173"/>
      <c r="W160" s="173"/>
      <c r="X160" s="10"/>
      <c r="Y160" s="173"/>
      <c r="Z160" s="173"/>
      <c r="AA160" s="173"/>
      <c r="AB160" s="173"/>
      <c r="AC160" s="10"/>
      <c r="AD160" s="173"/>
      <c r="AE160" s="173"/>
      <c r="AF160" s="173"/>
      <c r="AG160" s="173"/>
      <c r="AH160" s="10"/>
      <c r="AI160" s="173"/>
      <c r="AJ160" s="173"/>
      <c r="AK160" s="173"/>
      <c r="AL160" s="173"/>
      <c r="AM160" s="173"/>
      <c r="AN160" s="173"/>
      <c r="AO160" s="173"/>
      <c r="AP160" s="173"/>
    </row>
    <row r="161" spans="1:42" ht="12.75" customHeight="1">
      <c r="A161" s="1002"/>
      <c r="B161" s="700" t="s">
        <v>872</v>
      </c>
      <c r="C161" s="701">
        <v>358</v>
      </c>
      <c r="D161" s="702" t="s">
        <v>254</v>
      </c>
      <c r="E161" s="703" t="s">
        <v>254</v>
      </c>
      <c r="F161" s="1002"/>
      <c r="G161" s="700" t="s">
        <v>873</v>
      </c>
      <c r="H161" s="701">
        <v>417</v>
      </c>
      <c r="I161" s="702">
        <v>-0.5</v>
      </c>
      <c r="J161" s="703">
        <v>0.5</v>
      </c>
      <c r="K161" s="1002"/>
      <c r="L161" s="700" t="s">
        <v>874</v>
      </c>
      <c r="M161" s="701">
        <v>412</v>
      </c>
      <c r="N161" s="702">
        <v>-0.4</v>
      </c>
      <c r="O161" s="703">
        <v>0.4</v>
      </c>
      <c r="P161" s="692"/>
      <c r="Q161" s="173"/>
      <c r="R161" s="173"/>
      <c r="S161" s="173"/>
      <c r="T161" s="173"/>
      <c r="U161" s="173"/>
      <c r="V161" s="173"/>
      <c r="W161" s="173"/>
      <c r="X161" s="10"/>
      <c r="Y161" s="173"/>
      <c r="Z161" s="173"/>
      <c r="AA161" s="173"/>
      <c r="AB161" s="173"/>
      <c r="AC161" s="10"/>
      <c r="AD161" s="173"/>
      <c r="AE161" s="173"/>
      <c r="AF161" s="173"/>
      <c r="AG161" s="173"/>
      <c r="AH161" s="10"/>
      <c r="AI161" s="173"/>
      <c r="AJ161" s="173"/>
      <c r="AK161" s="173"/>
      <c r="AL161" s="173"/>
      <c r="AM161" s="173"/>
      <c r="AN161" s="173"/>
      <c r="AO161" s="173"/>
      <c r="AP161" s="173"/>
    </row>
    <row r="162" spans="1:42" ht="12.75" customHeight="1" thickBot="1">
      <c r="A162" s="1003"/>
      <c r="B162" s="708" t="s">
        <v>875</v>
      </c>
      <c r="C162" s="709">
        <v>364</v>
      </c>
      <c r="D162" s="710" t="s">
        <v>254</v>
      </c>
      <c r="E162" s="711" t="s">
        <v>254</v>
      </c>
      <c r="F162" s="1002"/>
      <c r="G162" s="708" t="s">
        <v>876</v>
      </c>
      <c r="H162" s="709">
        <v>424</v>
      </c>
      <c r="I162" s="710">
        <v>-0.35</v>
      </c>
      <c r="J162" s="711">
        <v>0.35</v>
      </c>
      <c r="K162" s="1002"/>
      <c r="L162" s="708" t="s">
        <v>877</v>
      </c>
      <c r="M162" s="709">
        <v>416</v>
      </c>
      <c r="N162" s="710">
        <v>-0.45</v>
      </c>
      <c r="O162" s="711">
        <v>0.45</v>
      </c>
      <c r="P162" s="692"/>
      <c r="Q162" s="173"/>
      <c r="R162" s="173"/>
      <c r="S162" s="173"/>
      <c r="T162" s="173"/>
      <c r="U162" s="173"/>
      <c r="V162" s="173"/>
      <c r="W162" s="173"/>
      <c r="X162" s="10"/>
      <c r="Y162" s="173"/>
      <c r="Z162" s="173"/>
      <c r="AA162" s="173"/>
      <c r="AB162" s="173"/>
      <c r="AC162" s="10"/>
      <c r="AD162" s="173"/>
      <c r="AE162" s="173"/>
      <c r="AF162" s="173"/>
      <c r="AG162" s="173"/>
      <c r="AH162" s="10"/>
      <c r="AI162" s="173"/>
      <c r="AJ162" s="173"/>
      <c r="AK162" s="173"/>
      <c r="AL162" s="173"/>
      <c r="AM162" s="173"/>
      <c r="AN162" s="173"/>
      <c r="AO162" s="173"/>
      <c r="AP162" s="173"/>
    </row>
    <row r="163" spans="1:42" ht="12.75" customHeight="1">
      <c r="A163" s="1001">
        <v>16</v>
      </c>
      <c r="B163" s="695" t="s">
        <v>878</v>
      </c>
      <c r="C163" s="696">
        <v>241</v>
      </c>
      <c r="D163" s="697">
        <v>-0.4</v>
      </c>
      <c r="E163" s="698">
        <v>0.4</v>
      </c>
      <c r="F163" s="1001">
        <v>16</v>
      </c>
      <c r="G163" s="695" t="s">
        <v>879</v>
      </c>
      <c r="H163" s="696">
        <v>248</v>
      </c>
      <c r="I163" s="697" t="s">
        <v>254</v>
      </c>
      <c r="J163" s="698" t="s">
        <v>254</v>
      </c>
      <c r="K163" s="1001">
        <v>16</v>
      </c>
      <c r="L163" s="695" t="s">
        <v>880</v>
      </c>
      <c r="M163" s="696">
        <v>180</v>
      </c>
      <c r="N163" s="697" t="s">
        <v>254</v>
      </c>
      <c r="O163" s="698" t="s">
        <v>254</v>
      </c>
      <c r="P163" s="692"/>
      <c r="Q163" s="173"/>
      <c r="R163" s="173"/>
      <c r="S163" s="173"/>
      <c r="T163" s="173"/>
      <c r="U163" s="173"/>
      <c r="V163" s="173"/>
      <c r="W163" s="173"/>
      <c r="X163" s="10"/>
      <c r="Y163" s="173"/>
      <c r="Z163" s="173"/>
      <c r="AA163" s="173"/>
      <c r="AB163" s="173"/>
      <c r="AC163" s="10"/>
      <c r="AD163" s="173"/>
      <c r="AE163" s="173"/>
      <c r="AF163" s="173"/>
      <c r="AG163" s="173"/>
      <c r="AH163" s="10"/>
      <c r="AI163" s="173"/>
      <c r="AJ163" s="173"/>
      <c r="AK163" s="173"/>
      <c r="AL163" s="173"/>
      <c r="AM163" s="173"/>
      <c r="AN163" s="173"/>
      <c r="AO163" s="173"/>
      <c r="AP163" s="173"/>
    </row>
    <row r="164" spans="1:42" ht="12.75" customHeight="1">
      <c r="A164" s="1002"/>
      <c r="B164" s="700" t="s">
        <v>881</v>
      </c>
      <c r="C164" s="701">
        <v>242</v>
      </c>
      <c r="D164" s="702">
        <v>0.1</v>
      </c>
      <c r="E164" s="703">
        <v>-0.3</v>
      </c>
      <c r="F164" s="1002"/>
      <c r="G164" s="700" t="s">
        <v>882</v>
      </c>
      <c r="H164" s="701">
        <v>255</v>
      </c>
      <c r="I164" s="702">
        <v>0</v>
      </c>
      <c r="J164" s="703">
        <v>0</v>
      </c>
      <c r="K164" s="1002"/>
      <c r="L164" s="700" t="s">
        <v>883</v>
      </c>
      <c r="M164" s="701">
        <v>184</v>
      </c>
      <c r="N164" s="702" t="s">
        <v>254</v>
      </c>
      <c r="O164" s="703" t="s">
        <v>254</v>
      </c>
      <c r="P164" s="692"/>
      <c r="Q164" s="173"/>
      <c r="R164" s="173"/>
      <c r="S164" s="173"/>
      <c r="T164" s="173"/>
      <c r="U164" s="173"/>
      <c r="V164" s="173"/>
      <c r="W164" s="173"/>
      <c r="X164" s="10"/>
      <c r="Y164" s="173"/>
      <c r="Z164" s="173"/>
      <c r="AA164" s="173"/>
      <c r="AB164" s="173"/>
      <c r="AC164" s="10"/>
      <c r="AD164" s="173"/>
      <c r="AE164" s="173"/>
      <c r="AF164" s="173"/>
      <c r="AG164" s="173"/>
      <c r="AH164" s="10"/>
      <c r="AI164" s="173"/>
      <c r="AJ164" s="173"/>
      <c r="AK164" s="173"/>
      <c r="AL164" s="173"/>
      <c r="AM164" s="173"/>
      <c r="AN164" s="173"/>
      <c r="AO164" s="173"/>
      <c r="AP164" s="173"/>
    </row>
    <row r="165" spans="1:42" ht="12.75" customHeight="1" thickBot="1">
      <c r="A165" s="1003"/>
      <c r="B165" s="704" t="s">
        <v>884</v>
      </c>
      <c r="C165" s="705">
        <v>249</v>
      </c>
      <c r="D165" s="706" t="s">
        <v>254</v>
      </c>
      <c r="E165" s="707" t="s">
        <v>254</v>
      </c>
      <c r="F165" s="1003"/>
      <c r="G165" s="704" t="s">
        <v>885</v>
      </c>
      <c r="H165" s="705">
        <v>262</v>
      </c>
      <c r="I165" s="706" t="s">
        <v>254</v>
      </c>
      <c r="J165" s="707" t="s">
        <v>254</v>
      </c>
      <c r="K165" s="1003"/>
      <c r="L165" s="704" t="s">
        <v>886</v>
      </c>
      <c r="M165" s="705">
        <v>189</v>
      </c>
      <c r="N165" s="706" t="s">
        <v>254</v>
      </c>
      <c r="O165" s="707" t="s">
        <v>254</v>
      </c>
      <c r="P165" s="692"/>
      <c r="Q165" s="173"/>
      <c r="R165" s="173"/>
      <c r="S165" s="173"/>
      <c r="T165" s="173"/>
      <c r="U165" s="173"/>
      <c r="V165" s="173"/>
      <c r="W165" s="173"/>
      <c r="X165" s="10"/>
      <c r="Y165" s="173"/>
      <c r="Z165" s="173"/>
      <c r="AA165" s="173"/>
      <c r="AB165" s="173"/>
      <c r="AC165" s="10"/>
      <c r="AD165" s="173"/>
      <c r="AE165" s="173"/>
      <c r="AF165" s="173"/>
      <c r="AG165" s="173"/>
      <c r="AH165" s="10"/>
      <c r="AI165" s="173"/>
      <c r="AJ165" s="173"/>
      <c r="AK165" s="173"/>
      <c r="AL165" s="173"/>
      <c r="AM165" s="173"/>
      <c r="AN165" s="173"/>
      <c r="AO165" s="173"/>
      <c r="AP165" s="173"/>
    </row>
    <row r="166" spans="1:42" ht="12.75" customHeight="1">
      <c r="A166" s="1001">
        <v>17</v>
      </c>
      <c r="B166" s="715" t="s">
        <v>887</v>
      </c>
      <c r="C166" s="716">
        <v>366</v>
      </c>
      <c r="D166" s="717">
        <v>-0.1</v>
      </c>
      <c r="E166" s="718">
        <v>0.15</v>
      </c>
      <c r="F166" s="1002">
        <v>17</v>
      </c>
      <c r="G166" s="715" t="s">
        <v>888</v>
      </c>
      <c r="H166" s="716">
        <v>474</v>
      </c>
      <c r="I166" s="717" t="s">
        <v>254</v>
      </c>
      <c r="J166" s="718" t="s">
        <v>254</v>
      </c>
      <c r="K166" s="1002">
        <v>17</v>
      </c>
      <c r="L166" s="715" t="s">
        <v>889</v>
      </c>
      <c r="M166" s="716">
        <v>421</v>
      </c>
      <c r="N166" s="717">
        <v>-0.8</v>
      </c>
      <c r="O166" s="718">
        <v>0.8</v>
      </c>
      <c r="P166" s="692"/>
      <c r="Q166" s="173"/>
      <c r="R166" s="173"/>
      <c r="S166" s="173"/>
      <c r="T166" s="173"/>
      <c r="U166" s="173"/>
      <c r="V166" s="173"/>
      <c r="W166" s="173"/>
      <c r="X166" s="10"/>
      <c r="Y166" s="173"/>
      <c r="Z166" s="173"/>
      <c r="AA166" s="173"/>
      <c r="AB166" s="173"/>
      <c r="AC166" s="10"/>
      <c r="AD166" s="173"/>
      <c r="AE166" s="173"/>
      <c r="AF166" s="173"/>
      <c r="AG166" s="173"/>
      <c r="AH166" s="10"/>
      <c r="AI166" s="173"/>
      <c r="AJ166" s="173"/>
      <c r="AK166" s="173"/>
      <c r="AL166" s="173"/>
      <c r="AM166" s="173"/>
      <c r="AN166" s="173"/>
      <c r="AO166" s="173"/>
      <c r="AP166" s="173"/>
    </row>
    <row r="167" spans="1:42" ht="12.75" customHeight="1">
      <c r="A167" s="1002"/>
      <c r="B167" s="700" t="s">
        <v>890</v>
      </c>
      <c r="C167" s="701">
        <v>368</v>
      </c>
      <c r="D167" s="702">
        <v>-0.15</v>
      </c>
      <c r="E167" s="703">
        <v>0.25</v>
      </c>
      <c r="F167" s="1002"/>
      <c r="G167" s="700" t="s">
        <v>891</v>
      </c>
      <c r="H167" s="701">
        <v>482</v>
      </c>
      <c r="I167" s="702">
        <v>-0.25</v>
      </c>
      <c r="J167" s="703">
        <v>0.25</v>
      </c>
      <c r="K167" s="1002"/>
      <c r="L167" s="700" t="s">
        <v>892</v>
      </c>
      <c r="M167" s="701">
        <v>431</v>
      </c>
      <c r="N167" s="702">
        <v>-1.3</v>
      </c>
      <c r="O167" s="703">
        <v>1.3</v>
      </c>
      <c r="P167" s="692"/>
      <c r="Q167" s="173"/>
      <c r="R167" s="173"/>
      <c r="S167" s="173"/>
      <c r="T167" s="173"/>
      <c r="U167" s="173"/>
      <c r="V167" s="173"/>
      <c r="W167" s="173"/>
      <c r="X167" s="10"/>
      <c r="Y167" s="173"/>
      <c r="Z167" s="173"/>
      <c r="AA167" s="173"/>
      <c r="AB167" s="173"/>
      <c r="AC167" s="10"/>
      <c r="AD167" s="173"/>
      <c r="AE167" s="173"/>
      <c r="AF167" s="173"/>
      <c r="AG167" s="173"/>
      <c r="AH167" s="10"/>
      <c r="AI167" s="173"/>
      <c r="AJ167" s="173"/>
      <c r="AK167" s="173"/>
      <c r="AL167" s="173"/>
      <c r="AM167" s="173"/>
      <c r="AN167" s="173"/>
      <c r="AO167" s="173"/>
      <c r="AP167" s="173"/>
    </row>
    <row r="168" spans="1:42" ht="12.75" customHeight="1" thickBot="1">
      <c r="A168" s="1003"/>
      <c r="B168" s="708" t="s">
        <v>893</v>
      </c>
      <c r="C168" s="709">
        <v>376</v>
      </c>
      <c r="D168" s="710">
        <v>0.3</v>
      </c>
      <c r="E168" s="711">
        <v>-0.3</v>
      </c>
      <c r="F168" s="1002"/>
      <c r="G168" s="708" t="s">
        <v>894</v>
      </c>
      <c r="H168" s="709">
        <v>484</v>
      </c>
      <c r="I168" s="710" t="s">
        <v>254</v>
      </c>
      <c r="J168" s="711" t="s">
        <v>254</v>
      </c>
      <c r="K168" s="1002"/>
      <c r="L168" s="708" t="s">
        <v>895</v>
      </c>
      <c r="M168" s="709">
        <v>444</v>
      </c>
      <c r="N168" s="710">
        <v>-0.9</v>
      </c>
      <c r="O168" s="711">
        <v>1.05</v>
      </c>
      <c r="P168" s="692"/>
      <c r="Q168" s="173"/>
      <c r="R168" s="173"/>
      <c r="S168" s="173"/>
      <c r="T168" s="173"/>
      <c r="U168" s="173"/>
      <c r="V168" s="173"/>
      <c r="W168" s="173"/>
      <c r="X168" s="10"/>
      <c r="Y168" s="173"/>
      <c r="Z168" s="173"/>
      <c r="AA168" s="173"/>
      <c r="AB168" s="173"/>
      <c r="AC168" s="10"/>
      <c r="AD168" s="173"/>
      <c r="AE168" s="173"/>
      <c r="AF168" s="173"/>
      <c r="AG168" s="173"/>
      <c r="AH168" s="10"/>
      <c r="AI168" s="173"/>
      <c r="AJ168" s="173"/>
      <c r="AK168" s="173"/>
      <c r="AL168" s="173"/>
      <c r="AM168" s="173"/>
      <c r="AN168" s="173"/>
      <c r="AO168" s="173"/>
      <c r="AP168" s="173"/>
    </row>
    <row r="169" spans="1:42" ht="12.75" customHeight="1">
      <c r="A169" s="1001">
        <v>18</v>
      </c>
      <c r="B169" s="695" t="s">
        <v>896</v>
      </c>
      <c r="C169" s="696">
        <v>543</v>
      </c>
      <c r="D169" s="697">
        <v>-0.25</v>
      </c>
      <c r="E169" s="698">
        <v>0.3</v>
      </c>
      <c r="F169" s="1001">
        <v>18</v>
      </c>
      <c r="G169" s="695" t="s">
        <v>897</v>
      </c>
      <c r="H169" s="696">
        <v>385</v>
      </c>
      <c r="I169" s="697" t="s">
        <v>254</v>
      </c>
      <c r="J169" s="698" t="s">
        <v>254</v>
      </c>
      <c r="K169" s="1001">
        <v>18</v>
      </c>
      <c r="L169" s="695" t="s">
        <v>898</v>
      </c>
      <c r="M169" s="696">
        <v>570</v>
      </c>
      <c r="N169" s="697" t="s">
        <v>254</v>
      </c>
      <c r="O169" s="698" t="s">
        <v>254</v>
      </c>
      <c r="P169" s="692"/>
      <c r="Q169" s="173"/>
      <c r="R169" s="173"/>
      <c r="S169" s="173"/>
      <c r="T169" s="173"/>
      <c r="U169" s="173"/>
      <c r="V169" s="173"/>
      <c r="W169" s="173"/>
      <c r="X169" s="10"/>
      <c r="Y169" s="173"/>
      <c r="Z169" s="173"/>
      <c r="AA169" s="173"/>
      <c r="AB169" s="173"/>
      <c r="AC169" s="10"/>
      <c r="AD169" s="173"/>
      <c r="AE169" s="173"/>
      <c r="AF169" s="173"/>
      <c r="AG169" s="173"/>
      <c r="AH169" s="10"/>
      <c r="AI169" s="173"/>
      <c r="AJ169" s="173"/>
      <c r="AK169" s="173"/>
      <c r="AL169" s="173"/>
      <c r="AM169" s="173"/>
      <c r="AN169" s="173"/>
      <c r="AO169" s="173"/>
      <c r="AP169" s="173"/>
    </row>
    <row r="170" spans="1:42" ht="12.75" customHeight="1">
      <c r="A170" s="1002"/>
      <c r="B170" s="700" t="s">
        <v>899</v>
      </c>
      <c r="C170" s="701">
        <v>547</v>
      </c>
      <c r="D170" s="702">
        <v>0.4</v>
      </c>
      <c r="E170" s="703">
        <v>-0.4</v>
      </c>
      <c r="F170" s="1002"/>
      <c r="G170" s="700" t="s">
        <v>900</v>
      </c>
      <c r="H170" s="701">
        <v>395</v>
      </c>
      <c r="I170" s="702">
        <v>-0.15</v>
      </c>
      <c r="J170" s="703">
        <v>0.15</v>
      </c>
      <c r="K170" s="1002"/>
      <c r="L170" s="700" t="s">
        <v>901</v>
      </c>
      <c r="M170" s="701">
        <v>576</v>
      </c>
      <c r="N170" s="702" t="s">
        <v>254</v>
      </c>
      <c r="O170" s="703" t="s">
        <v>254</v>
      </c>
      <c r="P170" s="692"/>
      <c r="Q170" s="173"/>
      <c r="R170" s="173"/>
      <c r="S170" s="173"/>
      <c r="T170" s="173"/>
      <c r="U170" s="173"/>
      <c r="V170" s="173"/>
      <c r="W170" s="173"/>
      <c r="X170" s="10"/>
      <c r="Y170" s="173"/>
      <c r="Z170" s="173"/>
      <c r="AA170" s="173"/>
      <c r="AB170" s="173"/>
      <c r="AC170" s="10"/>
      <c r="AD170" s="173"/>
      <c r="AE170" s="173"/>
      <c r="AF170" s="173"/>
      <c r="AG170" s="173"/>
      <c r="AH170" s="10"/>
      <c r="AI170" s="173"/>
      <c r="AJ170" s="173"/>
      <c r="AK170" s="173"/>
      <c r="AL170" s="173"/>
      <c r="AM170" s="173"/>
      <c r="AN170" s="173"/>
      <c r="AO170" s="173"/>
      <c r="AP170" s="173"/>
    </row>
    <row r="171" spans="1:42" ht="12.75" customHeight="1" thickBot="1">
      <c r="A171" s="1002"/>
      <c r="B171" s="704" t="s">
        <v>902</v>
      </c>
      <c r="C171" s="705">
        <v>553</v>
      </c>
      <c r="D171" s="706">
        <v>-0.25</v>
      </c>
      <c r="E171" s="707">
        <v>0.3</v>
      </c>
      <c r="F171" s="1003"/>
      <c r="G171" s="704" t="s">
        <v>903</v>
      </c>
      <c r="H171" s="705">
        <v>402</v>
      </c>
      <c r="I171" s="706">
        <v>0.15</v>
      </c>
      <c r="J171" s="707">
        <v>0</v>
      </c>
      <c r="K171" s="1003"/>
      <c r="L171" s="704" t="s">
        <v>904</v>
      </c>
      <c r="M171" s="705">
        <v>578</v>
      </c>
      <c r="N171" s="706" t="s">
        <v>254</v>
      </c>
      <c r="O171" s="707" t="s">
        <v>254</v>
      </c>
      <c r="P171" s="692"/>
      <c r="Q171" s="173"/>
      <c r="R171" s="173"/>
      <c r="S171" s="173"/>
      <c r="T171" s="173"/>
      <c r="U171" s="173"/>
      <c r="V171" s="173"/>
      <c r="W171" s="173"/>
      <c r="X171" s="10"/>
      <c r="Y171" s="173"/>
      <c r="Z171" s="173"/>
      <c r="AA171" s="173"/>
      <c r="AB171" s="173"/>
      <c r="AC171" s="10"/>
      <c r="AD171" s="173"/>
      <c r="AE171" s="173"/>
      <c r="AF171" s="173"/>
      <c r="AG171" s="173"/>
      <c r="AH171" s="10"/>
      <c r="AI171" s="173"/>
      <c r="AJ171" s="173"/>
      <c r="AK171" s="173"/>
      <c r="AL171" s="173"/>
      <c r="AM171" s="173"/>
      <c r="AN171" s="173"/>
      <c r="AO171" s="173"/>
      <c r="AP171" s="173"/>
    </row>
    <row r="172" spans="1:42" ht="12.75" customHeight="1" thickBot="1">
      <c r="A172" s="1004" t="s">
        <v>333</v>
      </c>
      <c r="B172" s="1004"/>
      <c r="C172" s="1004"/>
      <c r="D172" s="1004"/>
      <c r="E172" s="1004"/>
      <c r="F172" s="1004" t="s">
        <v>905</v>
      </c>
      <c r="G172" s="1004"/>
      <c r="H172" s="1004"/>
      <c r="I172" s="1004"/>
      <c r="J172" s="1004"/>
      <c r="K172" s="1004" t="s">
        <v>906</v>
      </c>
      <c r="L172" s="1004"/>
      <c r="M172" s="1004"/>
      <c r="N172" s="1004"/>
      <c r="O172" s="1004"/>
      <c r="P172" s="692"/>
      <c r="Q172" s="173"/>
      <c r="R172" s="173"/>
      <c r="S172" s="173"/>
      <c r="T172" s="173"/>
      <c r="U172" s="173"/>
      <c r="V172" s="173"/>
      <c r="W172" s="173"/>
      <c r="X172" s="10"/>
      <c r="Y172" s="173"/>
      <c r="Z172" s="173"/>
      <c r="AA172" s="173"/>
      <c r="AB172" s="173"/>
      <c r="AC172" s="10"/>
      <c r="AD172" s="173"/>
      <c r="AE172" s="173"/>
      <c r="AF172" s="173"/>
      <c r="AG172" s="173"/>
      <c r="AH172" s="10"/>
      <c r="AI172" s="173"/>
      <c r="AJ172" s="173"/>
      <c r="AK172" s="173"/>
      <c r="AL172" s="173"/>
      <c r="AM172" s="173"/>
      <c r="AN172" s="173"/>
      <c r="AO172" s="173"/>
      <c r="AP172" s="173"/>
    </row>
    <row r="173" spans="1:42" ht="12.75" customHeight="1" thickBot="1">
      <c r="A173" s="1004"/>
      <c r="B173" s="1004"/>
      <c r="C173" s="1004"/>
      <c r="D173" s="1004"/>
      <c r="E173" s="1004"/>
      <c r="F173" s="1004"/>
      <c r="G173" s="1004"/>
      <c r="H173" s="1004"/>
      <c r="I173" s="1004"/>
      <c r="J173" s="1004"/>
      <c r="K173" s="1004"/>
      <c r="L173" s="1004"/>
      <c r="M173" s="1004"/>
      <c r="N173" s="1004"/>
      <c r="O173" s="1004"/>
      <c r="P173" s="692"/>
      <c r="Q173" s="173"/>
      <c r="R173" s="173"/>
      <c r="S173" s="173"/>
      <c r="T173" s="173"/>
      <c r="U173" s="173"/>
      <c r="V173" s="173"/>
      <c r="W173" s="173"/>
      <c r="X173" s="10"/>
      <c r="Y173" s="173"/>
      <c r="Z173" s="173"/>
      <c r="AA173" s="173"/>
      <c r="AB173" s="173"/>
      <c r="AC173" s="10"/>
      <c r="AD173" s="173"/>
      <c r="AE173" s="173"/>
      <c r="AF173" s="173"/>
      <c r="AG173" s="173"/>
      <c r="AH173" s="10"/>
      <c r="AI173" s="173"/>
      <c r="AJ173" s="173"/>
      <c r="AK173" s="173"/>
      <c r="AL173" s="173"/>
      <c r="AM173" s="173"/>
      <c r="AN173" s="173"/>
      <c r="AO173" s="173"/>
      <c r="AP173" s="173"/>
    </row>
    <row r="174" spans="1:42" ht="12.75" customHeight="1" thickBot="1">
      <c r="A174" s="1005" t="s">
        <v>261</v>
      </c>
      <c r="B174" s="1005"/>
      <c r="C174" s="722" t="s">
        <v>470</v>
      </c>
      <c r="D174" s="722" t="s">
        <v>471</v>
      </c>
      <c r="E174" s="722" t="s">
        <v>472</v>
      </c>
      <c r="F174" s="1005" t="s">
        <v>261</v>
      </c>
      <c r="G174" s="1005"/>
      <c r="H174" s="722" t="s">
        <v>470</v>
      </c>
      <c r="I174" s="722" t="s">
        <v>471</v>
      </c>
      <c r="J174" s="722" t="s">
        <v>472</v>
      </c>
      <c r="K174" s="1005" t="s">
        <v>261</v>
      </c>
      <c r="L174" s="1005"/>
      <c r="M174" s="722" t="s">
        <v>470</v>
      </c>
      <c r="N174" s="722" t="s">
        <v>471</v>
      </c>
      <c r="O174" s="722" t="s">
        <v>472</v>
      </c>
      <c r="P174" s="692"/>
      <c r="Q174" s="173"/>
      <c r="R174" s="173"/>
      <c r="S174" s="173"/>
      <c r="T174" s="173"/>
      <c r="U174" s="173"/>
      <c r="V174" s="173"/>
      <c r="W174" s="173"/>
      <c r="X174" s="10"/>
      <c r="Y174" s="173"/>
      <c r="Z174" s="173"/>
      <c r="AA174" s="173"/>
      <c r="AB174" s="173"/>
      <c r="AC174" s="10"/>
      <c r="AD174" s="173"/>
      <c r="AE174" s="173"/>
      <c r="AF174" s="173"/>
      <c r="AG174" s="173"/>
      <c r="AH174" s="10"/>
      <c r="AI174" s="173"/>
      <c r="AJ174" s="173"/>
      <c r="AK174" s="173"/>
      <c r="AL174" s="173"/>
      <c r="AM174" s="173"/>
      <c r="AN174" s="173"/>
      <c r="AO174" s="173"/>
      <c r="AP174" s="173"/>
    </row>
    <row r="175" spans="1:42" ht="12.75" customHeight="1">
      <c r="A175" s="1002">
        <v>1</v>
      </c>
      <c r="B175" s="695" t="s">
        <v>907</v>
      </c>
      <c r="C175" s="696">
        <v>388</v>
      </c>
      <c r="D175" s="697">
        <v>-0.25</v>
      </c>
      <c r="E175" s="698">
        <v>0.25</v>
      </c>
      <c r="F175" s="1002">
        <v>1</v>
      </c>
      <c r="G175" s="695" t="s">
        <v>908</v>
      </c>
      <c r="H175" s="696">
        <v>409</v>
      </c>
      <c r="I175" s="697" t="s">
        <v>254</v>
      </c>
      <c r="J175" s="698" t="s">
        <v>254</v>
      </c>
      <c r="K175" s="1002">
        <v>1</v>
      </c>
      <c r="L175" s="695" t="s">
        <v>909</v>
      </c>
      <c r="M175" s="696">
        <v>377</v>
      </c>
      <c r="N175" s="697" t="s">
        <v>254</v>
      </c>
      <c r="O175" s="698" t="s">
        <v>254</v>
      </c>
      <c r="P175" s="692"/>
      <c r="Q175" s="173"/>
      <c r="R175" s="173"/>
      <c r="S175" s="173"/>
      <c r="T175" s="173"/>
      <c r="U175" s="173"/>
      <c r="V175" s="173"/>
      <c r="W175" s="173"/>
      <c r="X175" s="10"/>
      <c r="Y175" s="173"/>
      <c r="Z175" s="173"/>
      <c r="AA175" s="173"/>
      <c r="AB175" s="173"/>
      <c r="AC175" s="10"/>
      <c r="AD175" s="173"/>
      <c r="AE175" s="173"/>
      <c r="AF175" s="173"/>
      <c r="AG175" s="173"/>
      <c r="AH175" s="10"/>
      <c r="AI175" s="173"/>
      <c r="AJ175" s="173"/>
      <c r="AK175" s="173"/>
      <c r="AL175" s="173"/>
      <c r="AM175" s="173"/>
      <c r="AN175" s="173"/>
      <c r="AO175" s="173"/>
      <c r="AP175" s="173"/>
    </row>
    <row r="176" spans="1:42" ht="12.75" customHeight="1">
      <c r="A176" s="1002"/>
      <c r="B176" s="700" t="s">
        <v>910</v>
      </c>
      <c r="C176" s="701">
        <v>396</v>
      </c>
      <c r="D176" s="702">
        <v>-0.6</v>
      </c>
      <c r="E176" s="703">
        <v>0.65</v>
      </c>
      <c r="F176" s="1002"/>
      <c r="G176" s="700" t="s">
        <v>911</v>
      </c>
      <c r="H176" s="701">
        <v>438</v>
      </c>
      <c r="I176" s="702">
        <v>0</v>
      </c>
      <c r="J176" s="703">
        <v>-0.63</v>
      </c>
      <c r="K176" s="1002"/>
      <c r="L176" s="700" t="s">
        <v>912</v>
      </c>
      <c r="M176" s="701">
        <v>385</v>
      </c>
      <c r="N176" s="702">
        <v>0.6</v>
      </c>
      <c r="O176" s="703">
        <v>-0.7</v>
      </c>
      <c r="P176" s="692"/>
      <c r="Q176" s="173"/>
      <c r="R176" s="173"/>
      <c r="S176" s="173"/>
      <c r="T176" s="173"/>
      <c r="U176" s="173"/>
      <c r="V176" s="173"/>
      <c r="W176" s="173"/>
      <c r="X176" s="10"/>
      <c r="Y176" s="173"/>
      <c r="Z176" s="173"/>
      <c r="AA176" s="173"/>
      <c r="AB176" s="173"/>
      <c r="AC176" s="10"/>
      <c r="AD176" s="173"/>
      <c r="AE176" s="173"/>
      <c r="AF176" s="173"/>
      <c r="AG176" s="173"/>
      <c r="AH176" s="10"/>
      <c r="AI176" s="173"/>
      <c r="AJ176" s="173"/>
      <c r="AK176" s="173"/>
      <c r="AL176" s="173"/>
      <c r="AM176" s="173"/>
      <c r="AN176" s="173"/>
      <c r="AO176" s="173"/>
      <c r="AP176" s="173"/>
    </row>
    <row r="177" spans="1:42" ht="12.75" customHeight="1" thickBot="1">
      <c r="A177" s="1003"/>
      <c r="B177" s="708" t="s">
        <v>913</v>
      </c>
      <c r="C177" s="709">
        <v>402</v>
      </c>
      <c r="D177" s="710">
        <v>-0.3</v>
      </c>
      <c r="E177" s="711">
        <v>0.3</v>
      </c>
      <c r="F177" s="1002"/>
      <c r="G177" s="708" t="s">
        <v>914</v>
      </c>
      <c r="H177" s="709">
        <v>446</v>
      </c>
      <c r="I177" s="710">
        <v>0.8</v>
      </c>
      <c r="J177" s="711">
        <v>-0.8</v>
      </c>
      <c r="K177" s="1002"/>
      <c r="L177" s="708" t="s">
        <v>915</v>
      </c>
      <c r="M177" s="709">
        <v>401</v>
      </c>
      <c r="N177" s="710">
        <v>0.55000000000000004</v>
      </c>
      <c r="O177" s="711">
        <v>-0.75</v>
      </c>
      <c r="P177" s="692"/>
      <c r="Q177" s="173"/>
      <c r="R177" s="173"/>
      <c r="S177" s="173"/>
      <c r="T177" s="173"/>
      <c r="U177" s="173"/>
      <c r="V177" s="173"/>
      <c r="W177" s="173"/>
      <c r="X177" s="10"/>
      <c r="Y177" s="173"/>
      <c r="Z177" s="173"/>
      <c r="AA177" s="173"/>
      <c r="AB177" s="173"/>
      <c r="AC177" s="10"/>
      <c r="AD177" s="173"/>
      <c r="AE177" s="173"/>
      <c r="AF177" s="173"/>
      <c r="AG177" s="173"/>
      <c r="AH177" s="10"/>
      <c r="AI177" s="173"/>
      <c r="AJ177" s="173"/>
      <c r="AK177" s="173"/>
      <c r="AL177" s="173"/>
      <c r="AM177" s="173"/>
      <c r="AN177" s="173"/>
      <c r="AO177" s="173"/>
      <c r="AP177" s="173"/>
    </row>
    <row r="178" spans="1:42" ht="12.75" customHeight="1">
      <c r="A178" s="1001">
        <v>2</v>
      </c>
      <c r="B178" s="695" t="s">
        <v>916</v>
      </c>
      <c r="C178" s="696">
        <v>514</v>
      </c>
      <c r="D178" s="697" t="s">
        <v>254</v>
      </c>
      <c r="E178" s="698" t="s">
        <v>254</v>
      </c>
      <c r="F178" s="1001">
        <v>2</v>
      </c>
      <c r="G178" s="695" t="s">
        <v>917</v>
      </c>
      <c r="H178" s="696">
        <v>213</v>
      </c>
      <c r="I178" s="697" t="s">
        <v>254</v>
      </c>
      <c r="J178" s="698" t="s">
        <v>254</v>
      </c>
      <c r="K178" s="1001">
        <v>2</v>
      </c>
      <c r="L178" s="695" t="s">
        <v>918</v>
      </c>
      <c r="M178" s="696">
        <v>228</v>
      </c>
      <c r="N178" s="697">
        <v>-0.45</v>
      </c>
      <c r="O178" s="698">
        <v>0.4</v>
      </c>
      <c r="P178" s="692"/>
      <c r="Q178" s="173"/>
      <c r="R178" s="173"/>
      <c r="S178" s="173"/>
      <c r="T178" s="173"/>
      <c r="U178" s="173"/>
      <c r="V178" s="173"/>
      <c r="W178" s="173"/>
      <c r="X178" s="10"/>
      <c r="Y178" s="173"/>
      <c r="Z178" s="173"/>
      <c r="AA178" s="173"/>
      <c r="AB178" s="173"/>
      <c r="AC178" s="10"/>
      <c r="AD178" s="173"/>
      <c r="AE178" s="173"/>
      <c r="AF178" s="173"/>
      <c r="AG178" s="173"/>
      <c r="AH178" s="10"/>
      <c r="AI178" s="173"/>
      <c r="AJ178" s="173"/>
      <c r="AK178" s="173"/>
      <c r="AL178" s="173"/>
      <c r="AM178" s="173"/>
      <c r="AN178" s="173"/>
      <c r="AO178" s="173"/>
      <c r="AP178" s="173"/>
    </row>
    <row r="179" spans="1:42" ht="12.75" customHeight="1">
      <c r="A179" s="1002"/>
      <c r="B179" s="700" t="s">
        <v>919</v>
      </c>
      <c r="C179" s="701">
        <v>515</v>
      </c>
      <c r="D179" s="702" t="s">
        <v>254</v>
      </c>
      <c r="E179" s="703" t="s">
        <v>254</v>
      </c>
      <c r="F179" s="1002"/>
      <c r="G179" s="700" t="s">
        <v>920</v>
      </c>
      <c r="H179" s="701">
        <v>228</v>
      </c>
      <c r="I179" s="702">
        <v>-0.4</v>
      </c>
      <c r="J179" s="703">
        <v>0.45</v>
      </c>
      <c r="K179" s="1002"/>
      <c r="L179" s="700" t="s">
        <v>921</v>
      </c>
      <c r="M179" s="701">
        <v>231</v>
      </c>
      <c r="N179" s="702">
        <v>-0.1</v>
      </c>
      <c r="O179" s="703">
        <v>0.2</v>
      </c>
      <c r="P179" s="692"/>
      <c r="Q179" s="173"/>
      <c r="R179" s="173"/>
      <c r="S179" s="173"/>
      <c r="T179" s="173"/>
      <c r="U179" s="173"/>
      <c r="V179" s="173"/>
      <c r="W179" s="173"/>
      <c r="X179" s="10"/>
      <c r="Y179" s="173"/>
      <c r="Z179" s="173"/>
      <c r="AA179" s="173"/>
      <c r="AB179" s="173"/>
      <c r="AC179" s="10"/>
      <c r="AD179" s="173"/>
      <c r="AE179" s="173"/>
      <c r="AF179" s="173"/>
      <c r="AG179" s="173"/>
      <c r="AH179" s="10"/>
      <c r="AI179" s="173"/>
      <c r="AJ179" s="173"/>
      <c r="AK179" s="173"/>
      <c r="AL179" s="173"/>
      <c r="AM179" s="173"/>
      <c r="AN179" s="173"/>
      <c r="AO179" s="173"/>
      <c r="AP179" s="173"/>
    </row>
    <row r="180" spans="1:42" ht="12.75" customHeight="1" thickBot="1">
      <c r="A180" s="1003"/>
      <c r="B180" s="704" t="s">
        <v>922</v>
      </c>
      <c r="C180" s="705">
        <v>521</v>
      </c>
      <c r="D180" s="706" t="s">
        <v>254</v>
      </c>
      <c r="E180" s="707" t="s">
        <v>254</v>
      </c>
      <c r="F180" s="1003"/>
      <c r="G180" s="704" t="s">
        <v>923</v>
      </c>
      <c r="H180" s="705">
        <v>236</v>
      </c>
      <c r="I180" s="706">
        <v>-0.3</v>
      </c>
      <c r="J180" s="707">
        <v>0.3</v>
      </c>
      <c r="K180" s="1003"/>
      <c r="L180" s="704" t="s">
        <v>924</v>
      </c>
      <c r="M180" s="705">
        <v>242</v>
      </c>
      <c r="N180" s="706">
        <v>-1</v>
      </c>
      <c r="O180" s="707">
        <v>1</v>
      </c>
      <c r="P180" s="692"/>
      <c r="Q180" s="173"/>
      <c r="R180" s="173"/>
      <c r="S180" s="173"/>
      <c r="T180" s="173"/>
      <c r="U180" s="173"/>
      <c r="V180" s="173"/>
      <c r="W180" s="173"/>
      <c r="X180" s="10"/>
      <c r="Y180" s="173"/>
      <c r="Z180" s="173"/>
      <c r="AA180" s="173"/>
      <c r="AB180" s="173"/>
      <c r="AC180" s="10"/>
      <c r="AD180" s="173"/>
      <c r="AE180" s="173"/>
      <c r="AF180" s="173"/>
      <c r="AG180" s="173"/>
      <c r="AH180" s="10"/>
      <c r="AI180" s="173"/>
      <c r="AJ180" s="173"/>
      <c r="AK180" s="173"/>
      <c r="AL180" s="173"/>
      <c r="AM180" s="173"/>
      <c r="AN180" s="173"/>
      <c r="AO180" s="173"/>
      <c r="AP180" s="173"/>
    </row>
    <row r="181" spans="1:42" ht="12.75" customHeight="1">
      <c r="A181" s="1001">
        <v>3</v>
      </c>
      <c r="B181" s="715" t="s">
        <v>925</v>
      </c>
      <c r="C181" s="716">
        <v>198</v>
      </c>
      <c r="D181" s="717">
        <v>0</v>
      </c>
      <c r="E181" s="718">
        <v>0</v>
      </c>
      <c r="F181" s="1002">
        <v>3</v>
      </c>
      <c r="G181" s="715" t="s">
        <v>926</v>
      </c>
      <c r="H181" s="716">
        <v>379</v>
      </c>
      <c r="I181" s="717">
        <v>0.2</v>
      </c>
      <c r="J181" s="718">
        <v>-0.25</v>
      </c>
      <c r="K181" s="1002">
        <v>3</v>
      </c>
      <c r="L181" s="715" t="s">
        <v>927</v>
      </c>
      <c r="M181" s="716">
        <v>375</v>
      </c>
      <c r="N181" s="717">
        <v>0.3</v>
      </c>
      <c r="O181" s="718">
        <v>-0.3</v>
      </c>
      <c r="P181" s="692"/>
      <c r="Q181" s="173"/>
      <c r="R181" s="173"/>
      <c r="S181" s="173"/>
      <c r="T181" s="173"/>
      <c r="U181" s="173"/>
      <c r="V181" s="173"/>
      <c r="W181" s="173"/>
      <c r="X181" s="10"/>
      <c r="Y181" s="173"/>
      <c r="Z181" s="173"/>
      <c r="AA181" s="173"/>
      <c r="AB181" s="173"/>
      <c r="AC181" s="10"/>
      <c r="AD181" s="173"/>
      <c r="AE181" s="173"/>
      <c r="AF181" s="173"/>
      <c r="AG181" s="173"/>
      <c r="AH181" s="10"/>
      <c r="AI181" s="173"/>
      <c r="AJ181" s="173"/>
      <c r="AK181" s="173"/>
      <c r="AL181" s="173"/>
      <c r="AM181" s="173"/>
      <c r="AN181" s="173"/>
      <c r="AO181" s="173"/>
      <c r="AP181" s="173"/>
    </row>
    <row r="182" spans="1:42" ht="12.75" customHeight="1">
      <c r="A182" s="1002"/>
      <c r="B182" s="700" t="s">
        <v>928</v>
      </c>
      <c r="C182" s="701">
        <v>204</v>
      </c>
      <c r="D182" s="702">
        <v>0</v>
      </c>
      <c r="E182" s="703">
        <v>0</v>
      </c>
      <c r="F182" s="1002"/>
      <c r="G182" s="700" t="s">
        <v>929</v>
      </c>
      <c r="H182" s="701">
        <v>392</v>
      </c>
      <c r="I182" s="702">
        <v>0.4</v>
      </c>
      <c r="J182" s="703">
        <v>-0.4</v>
      </c>
      <c r="K182" s="1002"/>
      <c r="L182" s="700" t="s">
        <v>930</v>
      </c>
      <c r="M182" s="701">
        <v>386</v>
      </c>
      <c r="N182" s="702">
        <v>-0.2</v>
      </c>
      <c r="O182" s="703">
        <v>0.2</v>
      </c>
      <c r="P182" s="692"/>
      <c r="Q182" s="173"/>
      <c r="R182" s="173"/>
      <c r="S182" s="173"/>
      <c r="T182" s="173"/>
      <c r="U182" s="173"/>
      <c r="V182" s="173"/>
      <c r="W182" s="173"/>
      <c r="X182" s="10"/>
      <c r="Y182" s="173"/>
      <c r="Z182" s="173"/>
      <c r="AA182" s="173"/>
      <c r="AB182" s="173"/>
      <c r="AC182" s="10"/>
      <c r="AD182" s="173"/>
      <c r="AE182" s="173"/>
      <c r="AF182" s="173"/>
      <c r="AG182" s="173"/>
      <c r="AH182" s="10"/>
      <c r="AI182" s="173"/>
      <c r="AJ182" s="173"/>
      <c r="AK182" s="173"/>
      <c r="AL182" s="173"/>
      <c r="AM182" s="173"/>
      <c r="AN182" s="173"/>
      <c r="AO182" s="173"/>
      <c r="AP182" s="173"/>
    </row>
    <row r="183" spans="1:42" ht="12.75" customHeight="1" thickBot="1">
      <c r="A183" s="1003"/>
      <c r="B183" s="708" t="s">
        <v>931</v>
      </c>
      <c r="C183" s="709">
        <v>204</v>
      </c>
      <c r="D183" s="710">
        <v>0.1</v>
      </c>
      <c r="E183" s="711">
        <v>-0.1</v>
      </c>
      <c r="F183" s="1002"/>
      <c r="G183" s="708" t="s">
        <v>932</v>
      </c>
      <c r="H183" s="709">
        <v>398</v>
      </c>
      <c r="I183" s="710" t="s">
        <v>254</v>
      </c>
      <c r="J183" s="711" t="s">
        <v>254</v>
      </c>
      <c r="K183" s="1002"/>
      <c r="L183" s="708" t="s">
        <v>933</v>
      </c>
      <c r="M183" s="709">
        <v>394</v>
      </c>
      <c r="N183" s="710">
        <v>-0.1</v>
      </c>
      <c r="O183" s="711" t="s">
        <v>934</v>
      </c>
      <c r="P183" s="692"/>
      <c r="Q183" s="173"/>
      <c r="R183" s="173"/>
      <c r="S183" s="173"/>
      <c r="T183" s="173"/>
      <c r="U183" s="173"/>
      <c r="V183" s="173"/>
      <c r="W183" s="173"/>
      <c r="X183" s="10"/>
      <c r="Y183" s="173"/>
      <c r="Z183" s="173"/>
      <c r="AA183" s="173"/>
      <c r="AB183" s="173"/>
      <c r="AC183" s="10"/>
      <c r="AD183" s="173"/>
      <c r="AE183" s="173"/>
      <c r="AF183" s="173"/>
      <c r="AG183" s="173"/>
      <c r="AH183" s="10"/>
      <c r="AI183" s="173"/>
      <c r="AJ183" s="173"/>
      <c r="AK183" s="173"/>
      <c r="AL183" s="173"/>
      <c r="AM183" s="173"/>
      <c r="AN183" s="173"/>
      <c r="AO183" s="173"/>
      <c r="AP183" s="173"/>
    </row>
    <row r="184" spans="1:42" ht="12.75" customHeight="1">
      <c r="A184" s="1001">
        <v>4</v>
      </c>
      <c r="B184" s="695" t="s">
        <v>935</v>
      </c>
      <c r="C184" s="696">
        <v>401</v>
      </c>
      <c r="D184" s="697">
        <v>0</v>
      </c>
      <c r="E184" s="698">
        <v>0.05</v>
      </c>
      <c r="F184" s="1001">
        <v>4</v>
      </c>
      <c r="G184" s="695" t="s">
        <v>936</v>
      </c>
      <c r="H184" s="696">
        <v>376</v>
      </c>
      <c r="I184" s="697">
        <v>0.25</v>
      </c>
      <c r="J184" s="698" t="s">
        <v>254</v>
      </c>
      <c r="K184" s="1001">
        <v>4</v>
      </c>
      <c r="L184" s="695" t="s">
        <v>937</v>
      </c>
      <c r="M184" s="696">
        <v>417</v>
      </c>
      <c r="N184" s="697">
        <v>-0.15</v>
      </c>
      <c r="O184" s="698">
        <v>0.15</v>
      </c>
      <c r="P184" s="692"/>
      <c r="Q184" s="173"/>
      <c r="R184" s="173"/>
      <c r="S184" s="173"/>
      <c r="T184" s="173"/>
      <c r="U184" s="173"/>
      <c r="V184" s="173"/>
      <c r="W184" s="173"/>
      <c r="X184" s="10"/>
      <c r="Y184" s="173"/>
      <c r="Z184" s="173"/>
      <c r="AA184" s="173"/>
      <c r="AB184" s="173"/>
      <c r="AC184" s="10"/>
      <c r="AD184" s="173"/>
      <c r="AE184" s="173"/>
      <c r="AF184" s="173"/>
      <c r="AG184" s="173"/>
      <c r="AH184" s="10"/>
      <c r="AI184" s="173"/>
      <c r="AJ184" s="173"/>
      <c r="AK184" s="173"/>
      <c r="AL184" s="173"/>
      <c r="AM184" s="173"/>
      <c r="AN184" s="173"/>
      <c r="AO184" s="173"/>
      <c r="AP184" s="173"/>
    </row>
    <row r="185" spans="1:42" ht="12.75" customHeight="1">
      <c r="A185" s="1002"/>
      <c r="B185" s="700" t="s">
        <v>938</v>
      </c>
      <c r="C185" s="701">
        <v>407</v>
      </c>
      <c r="D185" s="702">
        <v>0</v>
      </c>
      <c r="E185" s="703">
        <v>0.05</v>
      </c>
      <c r="F185" s="1002"/>
      <c r="G185" s="700" t="s">
        <v>939</v>
      </c>
      <c r="H185" s="701">
        <v>379</v>
      </c>
      <c r="I185" s="702" t="s">
        <v>254</v>
      </c>
      <c r="J185" s="703" t="s">
        <v>254</v>
      </c>
      <c r="K185" s="1002"/>
      <c r="L185" s="700" t="s">
        <v>940</v>
      </c>
      <c r="M185" s="701">
        <v>434</v>
      </c>
      <c r="N185" s="702">
        <v>0.5</v>
      </c>
      <c r="O185" s="703">
        <v>-0.5</v>
      </c>
      <c r="P185" s="692"/>
      <c r="Q185" s="173"/>
      <c r="R185" s="173"/>
      <c r="S185" s="173"/>
      <c r="T185" s="173"/>
      <c r="U185" s="173"/>
      <c r="V185" s="173"/>
      <c r="W185" s="173"/>
      <c r="X185" s="10"/>
      <c r="Y185" s="173"/>
      <c r="Z185" s="173"/>
      <c r="AA185" s="173"/>
      <c r="AB185" s="173"/>
      <c r="AC185" s="10"/>
      <c r="AD185" s="173"/>
      <c r="AE185" s="173"/>
      <c r="AF185" s="173"/>
      <c r="AG185" s="173"/>
      <c r="AH185" s="10"/>
      <c r="AI185" s="173"/>
      <c r="AJ185" s="173"/>
      <c r="AK185" s="173"/>
      <c r="AL185" s="173"/>
      <c r="AM185" s="173"/>
      <c r="AN185" s="173"/>
      <c r="AO185" s="173"/>
      <c r="AP185" s="173"/>
    </row>
    <row r="186" spans="1:42" ht="12.75" customHeight="1" thickBot="1">
      <c r="A186" s="1003"/>
      <c r="B186" s="704" t="s">
        <v>941</v>
      </c>
      <c r="C186" s="705">
        <v>408</v>
      </c>
      <c r="D186" s="706">
        <v>0</v>
      </c>
      <c r="E186" s="707">
        <v>0</v>
      </c>
      <c r="F186" s="1003"/>
      <c r="G186" s="704" t="s">
        <v>942</v>
      </c>
      <c r="H186" s="705">
        <v>392</v>
      </c>
      <c r="I186" s="706">
        <v>-0.3</v>
      </c>
      <c r="J186" s="707">
        <v>0.3</v>
      </c>
      <c r="K186" s="1003"/>
      <c r="L186" s="704" t="s">
        <v>943</v>
      </c>
      <c r="M186" s="705">
        <v>438</v>
      </c>
      <c r="N186" s="706">
        <v>-0.65</v>
      </c>
      <c r="O186" s="707">
        <v>0.65</v>
      </c>
      <c r="P186" s="692"/>
      <c r="Q186" s="173"/>
      <c r="R186" s="173"/>
      <c r="S186" s="173"/>
      <c r="T186" s="173"/>
      <c r="U186" s="173"/>
      <c r="V186" s="173"/>
      <c r="W186" s="173"/>
      <c r="X186" s="10"/>
      <c r="Y186" s="173"/>
      <c r="Z186" s="173"/>
      <c r="AA186" s="173"/>
      <c r="AB186" s="173"/>
      <c r="AC186" s="10"/>
      <c r="AD186" s="173"/>
      <c r="AE186" s="173"/>
      <c r="AF186" s="173"/>
      <c r="AG186" s="173"/>
      <c r="AH186" s="10"/>
      <c r="AI186" s="173"/>
      <c r="AJ186" s="173"/>
      <c r="AK186" s="173"/>
      <c r="AL186" s="173"/>
      <c r="AM186" s="173"/>
      <c r="AN186" s="173"/>
      <c r="AO186" s="173"/>
      <c r="AP186" s="173"/>
    </row>
    <row r="187" spans="1:42" ht="12.75" customHeight="1">
      <c r="A187" s="1001">
        <v>5</v>
      </c>
      <c r="B187" s="715" t="s">
        <v>944</v>
      </c>
      <c r="C187" s="716">
        <v>366</v>
      </c>
      <c r="D187" s="717">
        <v>0</v>
      </c>
      <c r="E187" s="718">
        <v>0</v>
      </c>
      <c r="F187" s="1002">
        <v>5</v>
      </c>
      <c r="G187" s="715" t="s">
        <v>945</v>
      </c>
      <c r="H187" s="716">
        <v>507</v>
      </c>
      <c r="I187" s="717">
        <v>-0.65</v>
      </c>
      <c r="J187" s="718">
        <v>0.7</v>
      </c>
      <c r="K187" s="1002">
        <v>5</v>
      </c>
      <c r="L187" s="715" t="s">
        <v>946</v>
      </c>
      <c r="M187" s="716">
        <v>497</v>
      </c>
      <c r="N187" s="717">
        <v>0</v>
      </c>
      <c r="O187" s="718">
        <v>0</v>
      </c>
      <c r="P187" s="692"/>
      <c r="Q187" s="173"/>
      <c r="R187" s="173"/>
      <c r="S187" s="173"/>
      <c r="T187" s="173"/>
      <c r="U187" s="173"/>
      <c r="V187" s="173"/>
      <c r="W187" s="173"/>
      <c r="X187" s="10"/>
      <c r="Y187" s="173"/>
      <c r="Z187" s="173"/>
      <c r="AA187" s="173"/>
      <c r="AB187" s="173"/>
      <c r="AC187" s="10"/>
      <c r="AD187" s="173"/>
      <c r="AE187" s="173"/>
      <c r="AF187" s="173"/>
      <c r="AG187" s="173"/>
      <c r="AH187" s="10"/>
      <c r="AI187" s="173"/>
      <c r="AJ187" s="173"/>
      <c r="AK187" s="173"/>
      <c r="AL187" s="173"/>
      <c r="AM187" s="173"/>
      <c r="AN187" s="173"/>
      <c r="AO187" s="173"/>
      <c r="AP187" s="173"/>
    </row>
    <row r="188" spans="1:42" ht="12.75" customHeight="1">
      <c r="A188" s="1002"/>
      <c r="B188" s="700" t="s">
        <v>947</v>
      </c>
      <c r="C188" s="701">
        <v>373</v>
      </c>
      <c r="D188" s="702">
        <v>0</v>
      </c>
      <c r="E188" s="703">
        <v>0</v>
      </c>
      <c r="F188" s="1002"/>
      <c r="G188" s="700" t="s">
        <v>948</v>
      </c>
      <c r="H188" s="701">
        <v>507</v>
      </c>
      <c r="I188" s="702">
        <v>-0.2</v>
      </c>
      <c r="J188" s="703">
        <v>0.3</v>
      </c>
      <c r="K188" s="1002"/>
      <c r="L188" s="700" t="s">
        <v>949</v>
      </c>
      <c r="M188" s="701">
        <v>507</v>
      </c>
      <c r="N188" s="702" t="s">
        <v>254</v>
      </c>
      <c r="O188" s="703" t="s">
        <v>254</v>
      </c>
      <c r="P188" s="692"/>
      <c r="Q188" s="173"/>
      <c r="R188" s="173"/>
      <c r="S188" s="173"/>
      <c r="T188" s="173"/>
      <c r="U188" s="173"/>
      <c r="V188" s="173"/>
      <c r="W188" s="173"/>
      <c r="X188" s="10"/>
      <c r="Y188" s="173"/>
      <c r="Z188" s="173"/>
      <c r="AA188" s="173"/>
      <c r="AB188" s="173"/>
      <c r="AC188" s="10"/>
      <c r="AD188" s="173"/>
      <c r="AE188" s="173"/>
      <c r="AF188" s="173"/>
      <c r="AG188" s="173"/>
      <c r="AH188" s="10"/>
      <c r="AI188" s="173"/>
      <c r="AJ188" s="173"/>
      <c r="AK188" s="173"/>
      <c r="AL188" s="173"/>
      <c r="AM188" s="173"/>
      <c r="AN188" s="173"/>
      <c r="AO188" s="173"/>
      <c r="AP188" s="173"/>
    </row>
    <row r="189" spans="1:42" ht="12.75" customHeight="1" thickBot="1">
      <c r="A189" s="1003"/>
      <c r="B189" s="708" t="s">
        <v>950</v>
      </c>
      <c r="C189" s="709" t="s">
        <v>134</v>
      </c>
      <c r="D189" s="710" t="s">
        <v>254</v>
      </c>
      <c r="E189" s="711" t="s">
        <v>254</v>
      </c>
      <c r="F189" s="1002"/>
      <c r="G189" s="708" t="s">
        <v>951</v>
      </c>
      <c r="H189" s="709">
        <v>509</v>
      </c>
      <c r="I189" s="710">
        <v>-0.75</v>
      </c>
      <c r="J189" s="711">
        <v>0.75</v>
      </c>
      <c r="K189" s="1002"/>
      <c r="L189" s="708" t="s">
        <v>952</v>
      </c>
      <c r="M189" s="709">
        <v>515</v>
      </c>
      <c r="N189" s="710">
        <v>0.15</v>
      </c>
      <c r="O189" s="711">
        <v>-0.15</v>
      </c>
      <c r="P189" s="692"/>
      <c r="Q189" s="173"/>
      <c r="R189" s="173"/>
      <c r="S189" s="173"/>
      <c r="T189" s="173"/>
      <c r="U189" s="173"/>
      <c r="V189" s="173"/>
      <c r="W189" s="173"/>
      <c r="X189" s="10"/>
      <c r="Y189" s="173"/>
      <c r="Z189" s="173"/>
      <c r="AA189" s="173"/>
      <c r="AB189" s="173"/>
      <c r="AC189" s="10"/>
      <c r="AD189" s="173"/>
      <c r="AE189" s="173"/>
      <c r="AF189" s="173"/>
      <c r="AG189" s="173"/>
      <c r="AH189" s="10"/>
      <c r="AI189" s="173"/>
      <c r="AJ189" s="173"/>
      <c r="AK189" s="173"/>
      <c r="AL189" s="173"/>
      <c r="AM189" s="173"/>
      <c r="AN189" s="173"/>
      <c r="AO189" s="173"/>
      <c r="AP189" s="173"/>
    </row>
    <row r="190" spans="1:42" ht="12.75" customHeight="1">
      <c r="A190" s="1001">
        <v>6</v>
      </c>
      <c r="B190" s="695" t="s">
        <v>953</v>
      </c>
      <c r="C190" s="696">
        <v>386</v>
      </c>
      <c r="D190" s="697">
        <v>0</v>
      </c>
      <c r="E190" s="698">
        <v>0</v>
      </c>
      <c r="F190" s="1001">
        <v>6</v>
      </c>
      <c r="G190" s="695" t="s">
        <v>954</v>
      </c>
      <c r="H190" s="696">
        <v>235</v>
      </c>
      <c r="I190" s="697" t="s">
        <v>254</v>
      </c>
      <c r="J190" s="698" t="s">
        <v>254</v>
      </c>
      <c r="K190" s="1001">
        <v>6</v>
      </c>
      <c r="L190" s="695" t="s">
        <v>955</v>
      </c>
      <c r="M190" s="696">
        <v>207</v>
      </c>
      <c r="N190" s="697" t="s">
        <v>254</v>
      </c>
      <c r="O190" s="698">
        <v>0.5</v>
      </c>
      <c r="P190" s="692"/>
      <c r="Q190" s="173"/>
      <c r="R190" s="173"/>
      <c r="S190" s="173"/>
      <c r="T190" s="173"/>
      <c r="U190" s="173"/>
      <c r="V190" s="173"/>
      <c r="W190" s="173"/>
      <c r="X190" s="10"/>
      <c r="Y190" s="173"/>
      <c r="Z190" s="173"/>
      <c r="AA190" s="173"/>
      <c r="AB190" s="173"/>
      <c r="AC190" s="10"/>
      <c r="AD190" s="173"/>
      <c r="AE190" s="173"/>
      <c r="AF190" s="173"/>
      <c r="AG190" s="173"/>
      <c r="AH190" s="10"/>
      <c r="AI190" s="173"/>
      <c r="AJ190" s="173"/>
      <c r="AK190" s="173"/>
      <c r="AL190" s="173"/>
      <c r="AM190" s="173"/>
      <c r="AN190" s="173"/>
      <c r="AO190" s="173"/>
      <c r="AP190" s="173"/>
    </row>
    <row r="191" spans="1:42" ht="12.75" customHeight="1">
      <c r="A191" s="1002"/>
      <c r="B191" s="700" t="s">
        <v>956</v>
      </c>
      <c r="C191" s="701">
        <v>389</v>
      </c>
      <c r="D191" s="702">
        <v>0</v>
      </c>
      <c r="E191" s="703">
        <v>0</v>
      </c>
      <c r="F191" s="1002"/>
      <c r="G191" s="700" t="s">
        <v>957</v>
      </c>
      <c r="H191" s="701">
        <v>239</v>
      </c>
      <c r="I191" s="702" t="s">
        <v>254</v>
      </c>
      <c r="J191" s="703" t="s">
        <v>254</v>
      </c>
      <c r="K191" s="1002"/>
      <c r="L191" s="700" t="s">
        <v>958</v>
      </c>
      <c r="M191" s="701">
        <v>210</v>
      </c>
      <c r="N191" s="702">
        <v>0.15</v>
      </c>
      <c r="O191" s="703">
        <v>-0.1</v>
      </c>
      <c r="P191" s="692"/>
      <c r="Q191" s="173"/>
      <c r="R191" s="173"/>
      <c r="S191" s="173"/>
      <c r="T191" s="173"/>
      <c r="U191" s="173"/>
      <c r="V191" s="173"/>
      <c r="W191" s="173"/>
      <c r="X191" s="10"/>
      <c r="Y191" s="173"/>
      <c r="Z191" s="173"/>
      <c r="AA191" s="173"/>
      <c r="AB191" s="173"/>
      <c r="AC191" s="10"/>
      <c r="AD191" s="173"/>
      <c r="AE191" s="173"/>
      <c r="AF191" s="173"/>
      <c r="AG191" s="173"/>
      <c r="AH191" s="10"/>
      <c r="AI191" s="173"/>
      <c r="AJ191" s="173"/>
      <c r="AK191" s="173"/>
      <c r="AL191" s="173"/>
      <c r="AM191" s="173"/>
      <c r="AN191" s="173"/>
      <c r="AO191" s="173"/>
      <c r="AP191" s="173"/>
    </row>
    <row r="192" spans="1:42" ht="12.75" customHeight="1" thickBot="1">
      <c r="A192" s="1003"/>
      <c r="B192" s="704" t="s">
        <v>959</v>
      </c>
      <c r="C192" s="705">
        <v>390</v>
      </c>
      <c r="D192" s="706">
        <v>0</v>
      </c>
      <c r="E192" s="707">
        <v>0</v>
      </c>
      <c r="F192" s="1003"/>
      <c r="G192" s="704" t="s">
        <v>960</v>
      </c>
      <c r="H192" s="705">
        <v>243</v>
      </c>
      <c r="I192" s="706" t="s">
        <v>254</v>
      </c>
      <c r="J192" s="707" t="s">
        <v>254</v>
      </c>
      <c r="K192" s="1003"/>
      <c r="L192" s="704" t="s">
        <v>961</v>
      </c>
      <c r="M192" s="705">
        <v>221</v>
      </c>
      <c r="N192" s="706">
        <v>-0.2</v>
      </c>
      <c r="O192" s="707">
        <v>0.2</v>
      </c>
      <c r="P192" s="692"/>
      <c r="Q192" s="173"/>
      <c r="R192" s="173"/>
      <c r="S192" s="173"/>
      <c r="T192" s="173"/>
      <c r="U192" s="173"/>
      <c r="V192" s="173"/>
      <c r="W192" s="173"/>
      <c r="X192" s="10"/>
      <c r="Y192" s="173"/>
      <c r="Z192" s="173"/>
      <c r="AA192" s="173"/>
      <c r="AB192" s="173"/>
      <c r="AC192" s="10"/>
      <c r="AD192" s="173"/>
      <c r="AE192" s="173"/>
      <c r="AF192" s="173"/>
      <c r="AG192" s="173"/>
      <c r="AH192" s="10"/>
      <c r="AI192" s="173"/>
      <c r="AJ192" s="173"/>
      <c r="AK192" s="173"/>
      <c r="AL192" s="173"/>
      <c r="AM192" s="173"/>
      <c r="AN192" s="173"/>
      <c r="AO192" s="173"/>
      <c r="AP192" s="173"/>
    </row>
    <row r="193" spans="1:42" ht="12.75" customHeight="1">
      <c r="A193" s="1001">
        <v>7</v>
      </c>
      <c r="B193" s="715" t="s">
        <v>962</v>
      </c>
      <c r="C193" s="716">
        <v>480</v>
      </c>
      <c r="D193" s="717" t="s">
        <v>254</v>
      </c>
      <c r="E193" s="718" t="s">
        <v>254</v>
      </c>
      <c r="F193" s="1002">
        <v>7</v>
      </c>
      <c r="G193" s="715" t="s">
        <v>963</v>
      </c>
      <c r="H193" s="716">
        <v>506</v>
      </c>
      <c r="I193" s="717" t="s">
        <v>254</v>
      </c>
      <c r="J193" s="718" t="s">
        <v>254</v>
      </c>
      <c r="K193" s="1002">
        <v>7</v>
      </c>
      <c r="L193" s="715" t="s">
        <v>964</v>
      </c>
      <c r="M193" s="716">
        <v>537</v>
      </c>
      <c r="N193" s="717">
        <v>-0.55000000000000004</v>
      </c>
      <c r="O193" s="718">
        <v>0.4</v>
      </c>
      <c r="P193" s="692"/>
      <c r="Q193" s="173"/>
      <c r="R193" s="173"/>
      <c r="S193" s="173"/>
      <c r="T193" s="173"/>
      <c r="U193" s="173"/>
      <c r="V193" s="173"/>
      <c r="W193" s="173"/>
      <c r="X193" s="10"/>
      <c r="Y193" s="173"/>
      <c r="Z193" s="173"/>
      <c r="AA193" s="173"/>
      <c r="AB193" s="173"/>
      <c r="AC193" s="10"/>
      <c r="AD193" s="173"/>
      <c r="AE193" s="173"/>
      <c r="AF193" s="173"/>
      <c r="AG193" s="173"/>
      <c r="AH193" s="10"/>
      <c r="AI193" s="173"/>
      <c r="AJ193" s="173"/>
      <c r="AK193" s="173"/>
      <c r="AL193" s="173"/>
      <c r="AM193" s="173"/>
      <c r="AN193" s="173"/>
      <c r="AO193" s="173"/>
      <c r="AP193" s="173"/>
    </row>
    <row r="194" spans="1:42" ht="12.75" customHeight="1">
      <c r="A194" s="1002"/>
      <c r="B194" s="700" t="s">
        <v>965</v>
      </c>
      <c r="C194" s="701">
        <v>488</v>
      </c>
      <c r="D194" s="702" t="s">
        <v>254</v>
      </c>
      <c r="E194" s="703" t="s">
        <v>254</v>
      </c>
      <c r="F194" s="1002"/>
      <c r="G194" s="700" t="s">
        <v>966</v>
      </c>
      <c r="H194" s="701">
        <v>507</v>
      </c>
      <c r="I194" s="702">
        <v>0.5</v>
      </c>
      <c r="J194" s="703">
        <v>-0.5</v>
      </c>
      <c r="K194" s="1002"/>
      <c r="L194" s="700" t="s">
        <v>967</v>
      </c>
      <c r="M194" s="701">
        <v>542</v>
      </c>
      <c r="N194" s="702" t="s">
        <v>934</v>
      </c>
      <c r="O194" s="703">
        <v>-0.2</v>
      </c>
      <c r="P194" s="692"/>
      <c r="Q194" s="173"/>
      <c r="R194" s="173"/>
      <c r="S194" s="173"/>
      <c r="T194" s="173"/>
      <c r="U194" s="173"/>
      <c r="V194" s="173"/>
      <c r="W194" s="173"/>
      <c r="X194" s="10"/>
      <c r="Y194" s="173"/>
      <c r="Z194" s="173"/>
      <c r="AA194" s="173"/>
      <c r="AB194" s="173"/>
      <c r="AC194" s="10"/>
      <c r="AD194" s="173"/>
      <c r="AE194" s="173"/>
      <c r="AF194" s="173"/>
      <c r="AG194" s="173"/>
      <c r="AH194" s="10"/>
      <c r="AI194" s="173"/>
      <c r="AJ194" s="173"/>
      <c r="AK194" s="173"/>
      <c r="AL194" s="173"/>
      <c r="AM194" s="173"/>
      <c r="AN194" s="173"/>
      <c r="AO194" s="173"/>
      <c r="AP194" s="173"/>
    </row>
    <row r="195" spans="1:42" ht="12.75" customHeight="1" thickBot="1">
      <c r="A195" s="1003"/>
      <c r="B195" s="708" t="s">
        <v>968</v>
      </c>
      <c r="C195" s="709">
        <v>493</v>
      </c>
      <c r="D195" s="710">
        <v>0.15</v>
      </c>
      <c r="E195" s="711">
        <v>-0.2</v>
      </c>
      <c r="F195" s="1002"/>
      <c r="G195" s="708" t="s">
        <v>969</v>
      </c>
      <c r="H195" s="709">
        <v>512</v>
      </c>
      <c r="I195" s="710" t="s">
        <v>254</v>
      </c>
      <c r="J195" s="711" t="s">
        <v>254</v>
      </c>
      <c r="K195" s="1002"/>
      <c r="L195" s="708" t="s">
        <v>970</v>
      </c>
      <c r="M195" s="709">
        <v>555</v>
      </c>
      <c r="N195" s="710">
        <v>-0.5</v>
      </c>
      <c r="O195" s="711">
        <v>0.45</v>
      </c>
      <c r="P195" s="692"/>
      <c r="Q195" s="173"/>
      <c r="R195" s="173"/>
      <c r="S195" s="173"/>
      <c r="T195" s="173"/>
      <c r="U195" s="173"/>
      <c r="V195" s="173"/>
      <c r="W195" s="173"/>
      <c r="X195" s="10"/>
      <c r="Y195" s="173"/>
      <c r="Z195" s="173"/>
      <c r="AA195" s="173"/>
      <c r="AB195" s="173"/>
      <c r="AC195" s="10"/>
      <c r="AD195" s="173"/>
      <c r="AE195" s="173"/>
      <c r="AF195" s="173"/>
      <c r="AG195" s="173"/>
      <c r="AH195" s="10"/>
      <c r="AI195" s="173"/>
      <c r="AJ195" s="173"/>
      <c r="AK195" s="173"/>
      <c r="AL195" s="173"/>
      <c r="AM195" s="173"/>
      <c r="AN195" s="173"/>
      <c r="AO195" s="173"/>
      <c r="AP195" s="173"/>
    </row>
    <row r="196" spans="1:42" ht="12.75" customHeight="1">
      <c r="A196" s="1001">
        <v>8</v>
      </c>
      <c r="B196" s="695" t="s">
        <v>971</v>
      </c>
      <c r="C196" s="696">
        <v>258</v>
      </c>
      <c r="D196" s="697">
        <v>-0.15</v>
      </c>
      <c r="E196" s="698">
        <v>0.15</v>
      </c>
      <c r="F196" s="1001">
        <v>8</v>
      </c>
      <c r="G196" s="695" t="s">
        <v>972</v>
      </c>
      <c r="H196" s="696">
        <v>434</v>
      </c>
      <c r="I196" s="697" t="s">
        <v>254</v>
      </c>
      <c r="J196" s="698" t="s">
        <v>254</v>
      </c>
      <c r="K196" s="1001">
        <v>8</v>
      </c>
      <c r="L196" s="695" t="s">
        <v>973</v>
      </c>
      <c r="M196" s="696">
        <v>412</v>
      </c>
      <c r="N196" s="697" t="s">
        <v>254</v>
      </c>
      <c r="O196" s="698" t="s">
        <v>254</v>
      </c>
      <c r="P196" s="692"/>
      <c r="Q196" s="173"/>
      <c r="R196" s="173"/>
      <c r="S196" s="173"/>
      <c r="T196" s="173"/>
      <c r="U196" s="173"/>
      <c r="V196" s="173"/>
      <c r="W196" s="173"/>
      <c r="X196" s="10"/>
      <c r="Y196" s="173"/>
      <c r="Z196" s="173"/>
      <c r="AA196" s="173"/>
      <c r="AB196" s="173"/>
      <c r="AC196" s="10"/>
      <c r="AD196" s="173"/>
      <c r="AE196" s="173"/>
      <c r="AF196" s="173"/>
      <c r="AG196" s="173"/>
      <c r="AH196" s="10"/>
      <c r="AI196" s="173"/>
      <c r="AJ196" s="173"/>
      <c r="AK196" s="173"/>
      <c r="AL196" s="173"/>
      <c r="AM196" s="173"/>
      <c r="AN196" s="173"/>
      <c r="AO196" s="173"/>
      <c r="AP196" s="173"/>
    </row>
    <row r="197" spans="1:42" ht="12.75" customHeight="1">
      <c r="A197" s="1002"/>
      <c r="B197" s="700" t="s">
        <v>974</v>
      </c>
      <c r="C197" s="701">
        <v>267</v>
      </c>
      <c r="D197" s="702">
        <v>-0.2</v>
      </c>
      <c r="E197" s="703">
        <v>0.2</v>
      </c>
      <c r="F197" s="1002"/>
      <c r="G197" s="700" t="s">
        <v>975</v>
      </c>
      <c r="H197" s="701">
        <v>434</v>
      </c>
      <c r="I197" s="702" t="s">
        <v>254</v>
      </c>
      <c r="J197" s="703" t="s">
        <v>254</v>
      </c>
      <c r="K197" s="1002"/>
      <c r="L197" s="700" t="s">
        <v>976</v>
      </c>
      <c r="M197" s="701">
        <v>422</v>
      </c>
      <c r="N197" s="702" t="s">
        <v>254</v>
      </c>
      <c r="O197" s="703" t="s">
        <v>254</v>
      </c>
      <c r="P197" s="692"/>
      <c r="Q197" s="173"/>
      <c r="R197" s="173"/>
      <c r="S197" s="173"/>
      <c r="T197" s="173"/>
      <c r="U197" s="173"/>
      <c r="V197" s="173"/>
      <c r="W197" s="173"/>
      <c r="X197" s="720"/>
      <c r="Y197" s="726"/>
      <c r="Z197" s="726"/>
      <c r="AA197" s="726"/>
      <c r="AB197" s="726"/>
      <c r="AC197" s="720"/>
      <c r="AD197" s="726"/>
      <c r="AE197" s="726"/>
      <c r="AF197" s="726"/>
      <c r="AG197" s="726"/>
      <c r="AH197" s="720"/>
      <c r="AI197" s="726"/>
      <c r="AJ197" s="726"/>
      <c r="AK197" s="726"/>
      <c r="AL197" s="726"/>
      <c r="AM197" s="173"/>
      <c r="AN197" s="173"/>
      <c r="AO197" s="173"/>
      <c r="AP197" s="173"/>
    </row>
    <row r="198" spans="1:42" ht="12.75" customHeight="1" thickBot="1">
      <c r="A198" s="1003"/>
      <c r="B198" s="704" t="s">
        <v>977</v>
      </c>
      <c r="C198" s="705">
        <v>269</v>
      </c>
      <c r="D198" s="706">
        <v>0</v>
      </c>
      <c r="E198" s="707">
        <v>0</v>
      </c>
      <c r="F198" s="1003"/>
      <c r="G198" s="704" t="s">
        <v>978</v>
      </c>
      <c r="H198" s="705">
        <v>445</v>
      </c>
      <c r="I198" s="706">
        <v>0</v>
      </c>
      <c r="J198" s="707">
        <v>0</v>
      </c>
      <c r="K198" s="1003"/>
      <c r="L198" s="704" t="s">
        <v>979</v>
      </c>
      <c r="M198" s="705">
        <v>437</v>
      </c>
      <c r="N198" s="706" t="s">
        <v>254</v>
      </c>
      <c r="O198" s="707" t="s">
        <v>254</v>
      </c>
      <c r="P198" s="692"/>
      <c r="Q198" s="173"/>
      <c r="R198" s="173"/>
      <c r="S198" s="173"/>
      <c r="T198" s="173"/>
      <c r="U198" s="173"/>
      <c r="V198" s="173"/>
      <c r="W198" s="173"/>
      <c r="X198" s="720"/>
      <c r="Y198" s="726"/>
      <c r="Z198" s="726"/>
      <c r="AA198" s="726"/>
      <c r="AB198" s="726"/>
      <c r="AC198" s="720"/>
      <c r="AD198" s="726"/>
      <c r="AE198" s="726"/>
      <c r="AF198" s="726"/>
      <c r="AG198" s="726"/>
      <c r="AH198" s="720"/>
      <c r="AI198" s="726"/>
      <c r="AJ198" s="726"/>
      <c r="AK198" s="726"/>
      <c r="AL198" s="726"/>
      <c r="AM198" s="173"/>
      <c r="AN198" s="173"/>
      <c r="AO198" s="173"/>
      <c r="AP198" s="173"/>
    </row>
    <row r="199" spans="1:42" ht="12.75" customHeight="1">
      <c r="A199" s="1001">
        <v>9</v>
      </c>
      <c r="B199" s="715" t="s">
        <v>980</v>
      </c>
      <c r="C199" s="716">
        <v>290</v>
      </c>
      <c r="D199" s="717" t="s">
        <v>254</v>
      </c>
      <c r="E199" s="718" t="s">
        <v>254</v>
      </c>
      <c r="F199" s="1002">
        <v>9</v>
      </c>
      <c r="G199" s="715" t="s">
        <v>981</v>
      </c>
      <c r="H199" s="716">
        <v>383</v>
      </c>
      <c r="I199" s="717" t="s">
        <v>254</v>
      </c>
      <c r="J199" s="718" t="s">
        <v>254</v>
      </c>
      <c r="K199" s="1002">
        <v>9</v>
      </c>
      <c r="L199" s="715" t="s">
        <v>982</v>
      </c>
      <c r="M199" s="716">
        <v>414</v>
      </c>
      <c r="N199" s="717">
        <v>0.2</v>
      </c>
      <c r="O199" s="718">
        <v>-0.2</v>
      </c>
      <c r="P199" s="692"/>
      <c r="Q199" s="173"/>
      <c r="R199" s="173"/>
      <c r="S199" s="173"/>
      <c r="T199" s="173"/>
      <c r="U199" s="173"/>
      <c r="V199" s="173"/>
      <c r="W199" s="173"/>
      <c r="X199" s="699"/>
      <c r="Y199" s="699"/>
      <c r="Z199" s="699"/>
      <c r="AA199" s="699"/>
      <c r="AB199" s="699"/>
      <c r="AC199" s="699"/>
      <c r="AD199" s="699"/>
      <c r="AE199" s="699"/>
      <c r="AF199" s="699"/>
      <c r="AG199" s="699"/>
      <c r="AH199" s="699"/>
      <c r="AI199" s="699"/>
      <c r="AJ199" s="699"/>
      <c r="AK199" s="699"/>
      <c r="AL199" s="699"/>
      <c r="AM199" s="173"/>
      <c r="AN199" s="173"/>
      <c r="AO199" s="173"/>
      <c r="AP199" s="173"/>
    </row>
    <row r="200" spans="1:42" ht="12.75" customHeight="1">
      <c r="A200" s="1002"/>
      <c r="B200" s="700" t="s">
        <v>983</v>
      </c>
      <c r="C200" s="701">
        <v>294</v>
      </c>
      <c r="D200" s="702" t="s">
        <v>254</v>
      </c>
      <c r="E200" s="703" t="s">
        <v>254</v>
      </c>
      <c r="F200" s="1002"/>
      <c r="G200" s="700" t="s">
        <v>984</v>
      </c>
      <c r="H200" s="701">
        <v>395</v>
      </c>
      <c r="I200" s="702">
        <v>-0.3</v>
      </c>
      <c r="J200" s="703">
        <v>0.3</v>
      </c>
      <c r="K200" s="1002"/>
      <c r="L200" s="700" t="s">
        <v>985</v>
      </c>
      <c r="M200" s="701">
        <v>427</v>
      </c>
      <c r="N200" s="702">
        <v>0.6</v>
      </c>
      <c r="O200" s="703" t="s">
        <v>254</v>
      </c>
      <c r="P200" s="692"/>
      <c r="Q200" s="173"/>
      <c r="R200" s="173"/>
      <c r="S200" s="173"/>
      <c r="T200" s="173"/>
      <c r="U200" s="173"/>
      <c r="V200" s="173"/>
      <c r="W200" s="173"/>
      <c r="X200" s="10"/>
      <c r="Y200" s="173"/>
      <c r="Z200" s="173"/>
      <c r="AA200" s="173"/>
      <c r="AB200" s="173"/>
      <c r="AC200" s="10"/>
      <c r="AD200" s="173"/>
      <c r="AE200" s="173"/>
      <c r="AF200" s="173"/>
      <c r="AG200" s="173"/>
      <c r="AH200" s="10"/>
      <c r="AI200" s="173"/>
      <c r="AJ200" s="173"/>
      <c r="AK200" s="173"/>
      <c r="AL200" s="173"/>
      <c r="AM200" s="173"/>
      <c r="AN200" s="173"/>
      <c r="AO200" s="173"/>
      <c r="AP200" s="173"/>
    </row>
    <row r="201" spans="1:42" ht="12.75" customHeight="1" thickBot="1">
      <c r="A201" s="1003"/>
      <c r="B201" s="708" t="s">
        <v>986</v>
      </c>
      <c r="C201" s="709">
        <v>299</v>
      </c>
      <c r="D201" s="710" t="s">
        <v>254</v>
      </c>
      <c r="E201" s="711" t="s">
        <v>254</v>
      </c>
      <c r="F201" s="1002"/>
      <c r="G201" s="708" t="s">
        <v>987</v>
      </c>
      <c r="H201" s="709">
        <v>401</v>
      </c>
      <c r="I201" s="710" t="s">
        <v>254</v>
      </c>
      <c r="J201" s="711" t="s">
        <v>254</v>
      </c>
      <c r="K201" s="1002"/>
      <c r="L201" s="708" t="s">
        <v>988</v>
      </c>
      <c r="M201" s="709">
        <v>432</v>
      </c>
      <c r="N201" s="710">
        <v>0.3</v>
      </c>
      <c r="O201" s="711">
        <v>-0.3</v>
      </c>
      <c r="P201" s="692"/>
      <c r="Q201" s="173"/>
      <c r="R201" s="173"/>
      <c r="S201" s="173"/>
      <c r="T201" s="173"/>
      <c r="U201" s="173"/>
      <c r="V201" s="173"/>
      <c r="W201" s="173"/>
      <c r="X201" s="10"/>
      <c r="Y201" s="173"/>
      <c r="Z201" s="173"/>
      <c r="AA201" s="173"/>
      <c r="AB201" s="173"/>
      <c r="AC201" s="10"/>
      <c r="AD201" s="173"/>
      <c r="AE201" s="173"/>
      <c r="AF201" s="173"/>
      <c r="AG201" s="173"/>
      <c r="AH201" s="10"/>
      <c r="AI201" s="173"/>
      <c r="AJ201" s="173"/>
      <c r="AK201" s="173"/>
      <c r="AL201" s="173"/>
      <c r="AM201" s="173"/>
      <c r="AN201" s="173"/>
      <c r="AO201" s="173"/>
      <c r="AP201" s="173"/>
    </row>
    <row r="202" spans="1:42" ht="12.75" customHeight="1">
      <c r="A202" s="1001">
        <v>10</v>
      </c>
      <c r="B202" s="695" t="s">
        <v>989</v>
      </c>
      <c r="C202" s="696">
        <v>224</v>
      </c>
      <c r="D202" s="697">
        <v>0</v>
      </c>
      <c r="E202" s="698">
        <v>0</v>
      </c>
      <c r="F202" s="1001">
        <v>10</v>
      </c>
      <c r="G202" s="695" t="s">
        <v>990</v>
      </c>
      <c r="H202" s="696">
        <v>292</v>
      </c>
      <c r="I202" s="697" t="s">
        <v>254</v>
      </c>
      <c r="J202" s="698" t="s">
        <v>254</v>
      </c>
      <c r="K202" s="1001">
        <v>10</v>
      </c>
      <c r="L202" s="695" t="s">
        <v>991</v>
      </c>
      <c r="M202" s="696">
        <v>221</v>
      </c>
      <c r="N202" s="697">
        <v>0.1</v>
      </c>
      <c r="O202" s="698">
        <v>-0.1</v>
      </c>
      <c r="P202" s="692"/>
      <c r="Q202" s="173"/>
      <c r="R202" s="173"/>
      <c r="S202" s="173"/>
      <c r="T202" s="173"/>
      <c r="U202" s="173"/>
      <c r="V202" s="173"/>
      <c r="W202" s="173"/>
      <c r="X202" s="10"/>
      <c r="Y202" s="173"/>
      <c r="Z202" s="173"/>
      <c r="AA202" s="173"/>
      <c r="AB202" s="173"/>
      <c r="AC202" s="10"/>
      <c r="AD202" s="173"/>
      <c r="AE202" s="173"/>
      <c r="AF202" s="173"/>
      <c r="AG202" s="173"/>
      <c r="AH202" s="10"/>
      <c r="AI202" s="173"/>
      <c r="AJ202" s="173"/>
      <c r="AK202" s="173"/>
      <c r="AL202" s="173"/>
      <c r="AM202" s="173"/>
      <c r="AN202" s="173"/>
      <c r="AO202" s="173"/>
      <c r="AP202" s="173"/>
    </row>
    <row r="203" spans="1:42" ht="12.75" customHeight="1">
      <c r="A203" s="1002"/>
      <c r="B203" s="700" t="s">
        <v>992</v>
      </c>
      <c r="C203" s="701">
        <v>225</v>
      </c>
      <c r="D203" s="702">
        <v>0</v>
      </c>
      <c r="E203" s="703">
        <v>0</v>
      </c>
      <c r="F203" s="1002"/>
      <c r="G203" s="700" t="s">
        <v>993</v>
      </c>
      <c r="H203" s="701">
        <v>307</v>
      </c>
      <c r="I203" s="702" t="s">
        <v>254</v>
      </c>
      <c r="J203" s="703" t="s">
        <v>254</v>
      </c>
      <c r="K203" s="1002"/>
      <c r="L203" s="700" t="s">
        <v>994</v>
      </c>
      <c r="M203" s="701">
        <v>221</v>
      </c>
      <c r="N203" s="702" t="s">
        <v>254</v>
      </c>
      <c r="O203" s="703" t="s">
        <v>254</v>
      </c>
      <c r="P203" s="692"/>
      <c r="Q203" s="173"/>
      <c r="R203" s="173"/>
      <c r="S203" s="173"/>
      <c r="T203" s="173"/>
      <c r="U203" s="173"/>
      <c r="V203" s="173"/>
      <c r="W203" s="173"/>
      <c r="X203" s="10"/>
      <c r="Y203" s="173"/>
      <c r="Z203" s="173"/>
      <c r="AA203" s="173"/>
      <c r="AB203" s="173"/>
      <c r="AC203" s="10"/>
      <c r="AD203" s="173"/>
      <c r="AE203" s="173"/>
      <c r="AF203" s="173"/>
      <c r="AG203" s="173"/>
      <c r="AH203" s="10"/>
      <c r="AI203" s="173"/>
      <c r="AJ203" s="173"/>
      <c r="AK203" s="173"/>
      <c r="AL203" s="173"/>
      <c r="AM203" s="173"/>
      <c r="AN203" s="173"/>
      <c r="AO203" s="173"/>
      <c r="AP203" s="173"/>
    </row>
    <row r="204" spans="1:42" ht="12.75" customHeight="1" thickBot="1">
      <c r="A204" s="1003"/>
      <c r="B204" s="704" t="s">
        <v>995</v>
      </c>
      <c r="C204" s="705">
        <v>233</v>
      </c>
      <c r="D204" s="706">
        <v>-0.1</v>
      </c>
      <c r="E204" s="707">
        <v>0.1</v>
      </c>
      <c r="F204" s="1003"/>
      <c r="G204" s="704" t="s">
        <v>996</v>
      </c>
      <c r="H204" s="705">
        <v>310</v>
      </c>
      <c r="I204" s="706" t="s">
        <v>254</v>
      </c>
      <c r="J204" s="707" t="s">
        <v>254</v>
      </c>
      <c r="K204" s="1003"/>
      <c r="L204" s="704" t="s">
        <v>997</v>
      </c>
      <c r="M204" s="705">
        <v>236</v>
      </c>
      <c r="N204" s="706">
        <v>0.7</v>
      </c>
      <c r="O204" s="707">
        <v>-0.65</v>
      </c>
      <c r="P204" s="692"/>
      <c r="Q204" s="173"/>
      <c r="R204" s="173"/>
      <c r="S204" s="173"/>
      <c r="T204" s="173"/>
      <c r="U204" s="173"/>
      <c r="V204" s="173"/>
      <c r="W204" s="173"/>
      <c r="X204" s="10"/>
      <c r="Y204" s="173"/>
      <c r="Z204" s="173"/>
      <c r="AA204" s="173"/>
      <c r="AB204" s="173"/>
      <c r="AC204" s="10"/>
      <c r="AD204" s="173"/>
      <c r="AE204" s="173"/>
      <c r="AF204" s="173"/>
      <c r="AG204" s="173"/>
      <c r="AH204" s="10"/>
      <c r="AI204" s="173"/>
      <c r="AJ204" s="173"/>
      <c r="AK204" s="173"/>
      <c r="AL204" s="173"/>
      <c r="AM204" s="173"/>
      <c r="AN204" s="173"/>
      <c r="AO204" s="173"/>
      <c r="AP204" s="173"/>
    </row>
    <row r="205" spans="1:42" ht="12.75" customHeight="1">
      <c r="A205" s="1001">
        <v>11</v>
      </c>
      <c r="B205" s="715" t="s">
        <v>998</v>
      </c>
      <c r="C205" s="716">
        <v>442</v>
      </c>
      <c r="D205" s="717" t="s">
        <v>254</v>
      </c>
      <c r="E205" s="718" t="s">
        <v>254</v>
      </c>
      <c r="F205" s="1002">
        <v>11</v>
      </c>
      <c r="G205" s="715" t="s">
        <v>999</v>
      </c>
      <c r="H205" s="716">
        <v>364</v>
      </c>
      <c r="I205" s="717" t="s">
        <v>254</v>
      </c>
      <c r="J205" s="718" t="s">
        <v>254</v>
      </c>
      <c r="K205" s="1002">
        <v>11</v>
      </c>
      <c r="L205" s="715" t="s">
        <v>1000</v>
      </c>
      <c r="M205" s="716">
        <v>440</v>
      </c>
      <c r="N205" s="717" t="s">
        <v>254</v>
      </c>
      <c r="O205" s="718" t="s">
        <v>254</v>
      </c>
      <c r="P205" s="692"/>
      <c r="Q205" s="173"/>
      <c r="R205" s="173"/>
      <c r="S205" s="173"/>
      <c r="T205" s="173"/>
      <c r="U205" s="173"/>
      <c r="V205" s="173"/>
      <c r="W205" s="173"/>
      <c r="X205" s="10"/>
      <c r="Y205" s="173"/>
      <c r="Z205" s="173"/>
      <c r="AA205" s="173"/>
      <c r="AB205" s="173"/>
      <c r="AC205" s="10"/>
      <c r="AD205" s="173"/>
      <c r="AE205" s="173"/>
      <c r="AF205" s="173"/>
      <c r="AG205" s="173"/>
      <c r="AH205" s="10"/>
      <c r="AI205" s="173"/>
      <c r="AJ205" s="173"/>
      <c r="AK205" s="173"/>
      <c r="AL205" s="173"/>
      <c r="AM205" s="173"/>
      <c r="AN205" s="173"/>
      <c r="AO205" s="173"/>
      <c r="AP205" s="173"/>
    </row>
    <row r="206" spans="1:42" ht="12.75" customHeight="1">
      <c r="A206" s="1002"/>
      <c r="B206" s="700" t="s">
        <v>1001</v>
      </c>
      <c r="C206" s="701">
        <v>450</v>
      </c>
      <c r="D206" s="702">
        <v>0</v>
      </c>
      <c r="E206" s="703">
        <v>0</v>
      </c>
      <c r="F206" s="1002"/>
      <c r="G206" s="700" t="s">
        <v>1002</v>
      </c>
      <c r="H206" s="701">
        <v>371</v>
      </c>
      <c r="I206" s="702">
        <v>0.3</v>
      </c>
      <c r="J206" s="703">
        <v>-0.25</v>
      </c>
      <c r="K206" s="1002"/>
      <c r="L206" s="700" t="s">
        <v>1003</v>
      </c>
      <c r="M206" s="701">
        <v>441</v>
      </c>
      <c r="N206" s="702">
        <v>0.5</v>
      </c>
      <c r="O206" s="703">
        <v>-0.25</v>
      </c>
      <c r="P206" s="692"/>
      <c r="Q206" s="173"/>
      <c r="R206" s="173"/>
      <c r="S206" s="173"/>
      <c r="T206" s="173"/>
      <c r="U206" s="173"/>
      <c r="V206" s="173"/>
      <c r="W206" s="173"/>
      <c r="X206" s="10"/>
      <c r="Y206" s="173"/>
      <c r="Z206" s="173"/>
      <c r="AA206" s="173"/>
      <c r="AB206" s="173"/>
      <c r="AC206" s="10"/>
      <c r="AD206" s="173"/>
      <c r="AE206" s="173"/>
      <c r="AF206" s="173"/>
      <c r="AG206" s="173"/>
      <c r="AH206" s="10"/>
      <c r="AI206" s="173"/>
      <c r="AJ206" s="173"/>
      <c r="AK206" s="173"/>
      <c r="AL206" s="173"/>
      <c r="AM206" s="173"/>
      <c r="AN206" s="173"/>
      <c r="AO206" s="173"/>
      <c r="AP206" s="173"/>
    </row>
    <row r="207" spans="1:42" ht="12.75" customHeight="1" thickBot="1">
      <c r="A207" s="1003"/>
      <c r="B207" s="708" t="s">
        <v>1004</v>
      </c>
      <c r="C207" s="709">
        <v>457</v>
      </c>
      <c r="D207" s="710">
        <v>0</v>
      </c>
      <c r="E207" s="711">
        <v>0</v>
      </c>
      <c r="F207" s="1002"/>
      <c r="G207" s="708" t="s">
        <v>1005</v>
      </c>
      <c r="H207" s="709">
        <v>390</v>
      </c>
      <c r="I207" s="710">
        <v>0.35</v>
      </c>
      <c r="J207" s="711">
        <v>-0.55000000000000004</v>
      </c>
      <c r="K207" s="1002"/>
      <c r="L207" s="708" t="s">
        <v>1006</v>
      </c>
      <c r="M207" s="709">
        <v>455</v>
      </c>
      <c r="N207" s="710">
        <v>0.3</v>
      </c>
      <c r="O207" s="711">
        <v>-0.35</v>
      </c>
      <c r="P207" s="692"/>
      <c r="Q207" s="173"/>
      <c r="R207" s="173"/>
      <c r="S207" s="173"/>
      <c r="T207" s="173"/>
      <c r="U207" s="173"/>
      <c r="V207" s="173"/>
      <c r="W207" s="173"/>
      <c r="X207" s="10"/>
      <c r="Y207" s="173"/>
      <c r="Z207" s="173"/>
      <c r="AA207" s="173"/>
      <c r="AB207" s="173"/>
      <c r="AC207" s="10"/>
      <c r="AD207" s="173"/>
      <c r="AE207" s="173"/>
      <c r="AF207" s="173"/>
      <c r="AG207" s="173"/>
      <c r="AH207" s="10"/>
      <c r="AI207" s="173"/>
      <c r="AJ207" s="173"/>
      <c r="AK207" s="173"/>
      <c r="AL207" s="173"/>
      <c r="AM207" s="173"/>
      <c r="AN207" s="173"/>
      <c r="AO207" s="173"/>
      <c r="AP207" s="173"/>
    </row>
    <row r="208" spans="1:42" ht="12.75" customHeight="1">
      <c r="A208" s="1001">
        <v>12</v>
      </c>
      <c r="B208" s="695" t="s">
        <v>1007</v>
      </c>
      <c r="C208" s="696">
        <v>486</v>
      </c>
      <c r="D208" s="697" t="s">
        <v>254</v>
      </c>
      <c r="E208" s="698" t="s">
        <v>254</v>
      </c>
      <c r="F208" s="1001">
        <v>12</v>
      </c>
      <c r="G208" s="695" t="s">
        <v>1008</v>
      </c>
      <c r="H208" s="696">
        <v>533</v>
      </c>
      <c r="I208" s="697">
        <v>0.25</v>
      </c>
      <c r="J208" s="698">
        <v>-0.2</v>
      </c>
      <c r="K208" s="1001">
        <v>12</v>
      </c>
      <c r="L208" s="695" t="s">
        <v>1009</v>
      </c>
      <c r="M208" s="696">
        <v>268</v>
      </c>
      <c r="N208" s="697">
        <v>0.4</v>
      </c>
      <c r="O208" s="698">
        <v>0.1</v>
      </c>
      <c r="P208" s="692"/>
      <c r="Q208" s="173"/>
      <c r="R208" s="173"/>
      <c r="S208" s="173"/>
      <c r="T208" s="173"/>
      <c r="U208" s="173"/>
      <c r="V208" s="173"/>
      <c r="W208" s="173"/>
      <c r="X208" s="10"/>
      <c r="Y208" s="173"/>
      <c r="Z208" s="173"/>
      <c r="AA208" s="173"/>
      <c r="AB208" s="173"/>
      <c r="AC208" s="10"/>
      <c r="AD208" s="173"/>
      <c r="AE208" s="173"/>
      <c r="AF208" s="173"/>
      <c r="AG208" s="173"/>
      <c r="AH208" s="10"/>
      <c r="AI208" s="173"/>
      <c r="AJ208" s="173"/>
      <c r="AK208" s="173"/>
      <c r="AL208" s="173"/>
      <c r="AM208" s="173"/>
      <c r="AN208" s="173"/>
      <c r="AO208" s="173"/>
      <c r="AP208" s="173"/>
    </row>
    <row r="209" spans="1:42" ht="12.75" customHeight="1">
      <c r="A209" s="1002"/>
      <c r="B209" s="700" t="s">
        <v>1010</v>
      </c>
      <c r="C209" s="701">
        <v>493</v>
      </c>
      <c r="D209" s="702" t="s">
        <v>254</v>
      </c>
      <c r="E209" s="703">
        <v>0.55000000000000004</v>
      </c>
      <c r="F209" s="1002"/>
      <c r="G209" s="700" t="s">
        <v>1011</v>
      </c>
      <c r="H209" s="701">
        <v>544</v>
      </c>
      <c r="I209" s="702" t="s">
        <v>254</v>
      </c>
      <c r="J209" s="703" t="s">
        <v>254</v>
      </c>
      <c r="K209" s="1002"/>
      <c r="L209" s="700" t="s">
        <v>1012</v>
      </c>
      <c r="M209" s="701">
        <v>269</v>
      </c>
      <c r="N209" s="702" t="s">
        <v>254</v>
      </c>
      <c r="O209" s="703">
        <v>0</v>
      </c>
      <c r="P209" s="692"/>
      <c r="Q209" s="173"/>
      <c r="R209" s="173"/>
      <c r="S209" s="173"/>
      <c r="T209" s="173"/>
      <c r="U209" s="173"/>
      <c r="V209" s="173"/>
      <c r="W209" s="173"/>
      <c r="X209" s="10"/>
      <c r="Y209" s="173"/>
      <c r="Z209" s="173"/>
      <c r="AA209" s="173"/>
      <c r="AB209" s="173"/>
      <c r="AC209" s="10"/>
      <c r="AD209" s="173"/>
      <c r="AE209" s="173"/>
      <c r="AF209" s="173"/>
      <c r="AG209" s="173"/>
      <c r="AH209" s="10"/>
      <c r="AI209" s="173"/>
      <c r="AJ209" s="173"/>
      <c r="AK209" s="173"/>
      <c r="AL209" s="173"/>
      <c r="AM209" s="173"/>
      <c r="AN209" s="173"/>
      <c r="AO209" s="173"/>
      <c r="AP209" s="173"/>
    </row>
    <row r="210" spans="1:42" ht="12.75" customHeight="1" thickBot="1">
      <c r="A210" s="1003"/>
      <c r="B210" s="704" t="s">
        <v>1013</v>
      </c>
      <c r="C210" s="705">
        <v>494</v>
      </c>
      <c r="D210" s="706" t="s">
        <v>254</v>
      </c>
      <c r="E210" s="707">
        <v>0.75</v>
      </c>
      <c r="F210" s="1003"/>
      <c r="G210" s="704" t="s">
        <v>1014</v>
      </c>
      <c r="H210" s="705">
        <v>558</v>
      </c>
      <c r="I210" s="706">
        <v>-0.3</v>
      </c>
      <c r="J210" s="707">
        <v>0.2</v>
      </c>
      <c r="K210" s="1003"/>
      <c r="L210" s="704" t="s">
        <v>1015</v>
      </c>
      <c r="M210" s="705">
        <v>280</v>
      </c>
      <c r="N210" s="706">
        <v>0</v>
      </c>
      <c r="O210" s="707">
        <v>0</v>
      </c>
      <c r="P210" s="692"/>
      <c r="Q210" s="173"/>
      <c r="R210" s="173"/>
      <c r="S210" s="173"/>
      <c r="T210" s="173"/>
      <c r="U210" s="173"/>
      <c r="V210" s="173"/>
      <c r="W210" s="173"/>
      <c r="X210" s="10"/>
      <c r="Y210" s="173"/>
      <c r="Z210" s="173"/>
      <c r="AA210" s="173"/>
      <c r="AB210" s="173"/>
      <c r="AC210" s="10"/>
      <c r="AD210" s="173"/>
      <c r="AE210" s="173"/>
      <c r="AF210" s="173"/>
      <c r="AG210" s="173"/>
      <c r="AH210" s="10"/>
      <c r="AI210" s="173"/>
      <c r="AJ210" s="173"/>
      <c r="AK210" s="173"/>
      <c r="AL210" s="173"/>
      <c r="AM210" s="173"/>
      <c r="AN210" s="173"/>
      <c r="AO210" s="173"/>
      <c r="AP210" s="173"/>
    </row>
    <row r="211" spans="1:42" ht="12.75" customHeight="1">
      <c r="A211" s="1001">
        <v>13</v>
      </c>
      <c r="B211" s="715" t="s">
        <v>1016</v>
      </c>
      <c r="C211" s="716">
        <v>375</v>
      </c>
      <c r="D211" s="717">
        <v>0.1</v>
      </c>
      <c r="E211" s="718">
        <v>-0.1</v>
      </c>
      <c r="F211" s="1002">
        <v>13</v>
      </c>
      <c r="G211" s="715" t="s">
        <v>1017</v>
      </c>
      <c r="H211" s="716">
        <v>424</v>
      </c>
      <c r="I211" s="717" t="s">
        <v>254</v>
      </c>
      <c r="J211" s="718" t="s">
        <v>254</v>
      </c>
      <c r="K211" s="1002">
        <v>13</v>
      </c>
      <c r="L211" s="715" t="s">
        <v>1018</v>
      </c>
      <c r="M211" s="716">
        <v>385</v>
      </c>
      <c r="N211" s="717" t="s">
        <v>254</v>
      </c>
      <c r="O211" s="718" t="s">
        <v>254</v>
      </c>
      <c r="P211" s="692"/>
      <c r="Q211" s="173"/>
      <c r="R211" s="173"/>
      <c r="S211" s="173"/>
      <c r="T211" s="173"/>
      <c r="U211" s="173"/>
      <c r="V211" s="173"/>
      <c r="W211" s="173"/>
      <c r="X211" s="10"/>
      <c r="Y211" s="173"/>
      <c r="Z211" s="173"/>
      <c r="AA211" s="173"/>
      <c r="AB211" s="173"/>
      <c r="AC211" s="10"/>
      <c r="AD211" s="173"/>
      <c r="AE211" s="173"/>
      <c r="AF211" s="173"/>
      <c r="AG211" s="173"/>
      <c r="AH211" s="10"/>
      <c r="AI211" s="173"/>
      <c r="AJ211" s="173"/>
      <c r="AK211" s="173"/>
      <c r="AL211" s="173"/>
      <c r="AM211" s="173"/>
      <c r="AN211" s="173"/>
      <c r="AO211" s="173"/>
      <c r="AP211" s="173"/>
    </row>
    <row r="212" spans="1:42" ht="12.75" customHeight="1">
      <c r="A212" s="1002"/>
      <c r="B212" s="700" t="s">
        <v>1019</v>
      </c>
      <c r="C212" s="701">
        <v>385</v>
      </c>
      <c r="D212" s="702">
        <v>0</v>
      </c>
      <c r="E212" s="703">
        <v>0</v>
      </c>
      <c r="F212" s="1002"/>
      <c r="G212" s="700" t="s">
        <v>1020</v>
      </c>
      <c r="H212" s="701">
        <v>439</v>
      </c>
      <c r="I212" s="702">
        <v>-0.1</v>
      </c>
      <c r="J212" s="703">
        <v>0.1</v>
      </c>
      <c r="K212" s="1002"/>
      <c r="L212" s="700" t="s">
        <v>1021</v>
      </c>
      <c r="M212" s="701">
        <v>395</v>
      </c>
      <c r="N212" s="702">
        <v>-0.1</v>
      </c>
      <c r="O212" s="703">
        <v>0.1</v>
      </c>
      <c r="P212" s="692"/>
      <c r="Q212" s="173"/>
      <c r="R212" s="173"/>
      <c r="S212" s="173"/>
      <c r="T212" s="173"/>
      <c r="U212" s="173"/>
      <c r="V212" s="173"/>
      <c r="W212" s="173"/>
      <c r="X212" s="10"/>
      <c r="Y212" s="173"/>
      <c r="Z212" s="173"/>
      <c r="AA212" s="173"/>
      <c r="AB212" s="173"/>
      <c r="AC212" s="10"/>
      <c r="AD212" s="173"/>
      <c r="AE212" s="173"/>
      <c r="AF212" s="173"/>
      <c r="AG212" s="173"/>
      <c r="AH212" s="10"/>
      <c r="AI212" s="173"/>
      <c r="AJ212" s="173"/>
      <c r="AK212" s="173"/>
      <c r="AL212" s="173"/>
      <c r="AM212" s="173"/>
      <c r="AN212" s="173"/>
      <c r="AO212" s="173"/>
      <c r="AP212" s="173"/>
    </row>
    <row r="213" spans="1:42" ht="12.75" customHeight="1" thickBot="1">
      <c r="A213" s="1003"/>
      <c r="B213" s="708" t="s">
        <v>1022</v>
      </c>
      <c r="C213" s="709">
        <v>394</v>
      </c>
      <c r="D213" s="710">
        <v>0</v>
      </c>
      <c r="E213" s="711">
        <v>0</v>
      </c>
      <c r="F213" s="1002"/>
      <c r="G213" s="708" t="s">
        <v>1023</v>
      </c>
      <c r="H213" s="709">
        <v>441</v>
      </c>
      <c r="I213" s="710">
        <v>-0.15</v>
      </c>
      <c r="J213" s="711">
        <v>0.15</v>
      </c>
      <c r="K213" s="1002"/>
      <c r="L213" s="708" t="s">
        <v>1024</v>
      </c>
      <c r="M213" s="709">
        <v>396</v>
      </c>
      <c r="N213" s="710">
        <v>0.45</v>
      </c>
      <c r="O213" s="711">
        <v>-0.35</v>
      </c>
      <c r="P213" s="692"/>
      <c r="Q213" s="173"/>
      <c r="R213" s="173"/>
      <c r="S213" s="173"/>
      <c r="T213" s="173"/>
      <c r="U213" s="173"/>
      <c r="V213" s="173"/>
      <c r="W213" s="173"/>
      <c r="X213" s="10"/>
      <c r="Y213" s="173"/>
      <c r="Z213" s="173"/>
      <c r="AA213" s="173"/>
      <c r="AB213" s="173"/>
      <c r="AC213" s="10"/>
      <c r="AD213" s="173"/>
      <c r="AE213" s="173"/>
      <c r="AF213" s="173"/>
      <c r="AG213" s="173"/>
      <c r="AH213" s="10"/>
      <c r="AI213" s="173"/>
      <c r="AJ213" s="173"/>
      <c r="AK213" s="173"/>
      <c r="AL213" s="173"/>
      <c r="AM213" s="173"/>
      <c r="AN213" s="173"/>
      <c r="AO213" s="173"/>
      <c r="AP213" s="173"/>
    </row>
    <row r="214" spans="1:42" ht="12.75" customHeight="1">
      <c r="A214" s="1001">
        <v>14</v>
      </c>
      <c r="B214" s="695" t="s">
        <v>1025</v>
      </c>
      <c r="C214" s="696">
        <v>371</v>
      </c>
      <c r="D214" s="697" t="s">
        <v>254</v>
      </c>
      <c r="E214" s="698" t="s">
        <v>254</v>
      </c>
      <c r="F214" s="1001">
        <v>14</v>
      </c>
      <c r="G214" s="695" t="s">
        <v>1026</v>
      </c>
      <c r="H214" s="696">
        <v>457</v>
      </c>
      <c r="I214" s="697" t="s">
        <v>254</v>
      </c>
      <c r="J214" s="698" t="s">
        <v>254</v>
      </c>
      <c r="K214" s="1001">
        <v>14</v>
      </c>
      <c r="L214" s="695" t="s">
        <v>1027</v>
      </c>
      <c r="M214" s="696">
        <v>370</v>
      </c>
      <c r="N214" s="697" t="s">
        <v>254</v>
      </c>
      <c r="O214" s="698">
        <v>-0.2</v>
      </c>
      <c r="P214" s="692"/>
      <c r="Q214" s="173"/>
      <c r="R214" s="173"/>
      <c r="S214" s="173"/>
      <c r="T214" s="173"/>
      <c r="U214" s="173"/>
      <c r="V214" s="173"/>
      <c r="W214" s="173"/>
      <c r="X214" s="10"/>
      <c r="Y214" s="173"/>
      <c r="Z214" s="173"/>
      <c r="AA214" s="173"/>
      <c r="AB214" s="173"/>
      <c r="AC214" s="10"/>
      <c r="AD214" s="173"/>
      <c r="AE214" s="173"/>
      <c r="AF214" s="173"/>
      <c r="AG214" s="173"/>
      <c r="AH214" s="10"/>
      <c r="AI214" s="173"/>
      <c r="AJ214" s="173"/>
      <c r="AK214" s="173"/>
      <c r="AL214" s="173"/>
      <c r="AM214" s="173"/>
      <c r="AN214" s="173"/>
      <c r="AO214" s="173"/>
      <c r="AP214" s="173"/>
    </row>
    <row r="215" spans="1:42" ht="12.75" customHeight="1">
      <c r="A215" s="1002"/>
      <c r="B215" s="700" t="s">
        <v>1028</v>
      </c>
      <c r="C215" s="701">
        <v>374</v>
      </c>
      <c r="D215" s="702" t="s">
        <v>254</v>
      </c>
      <c r="E215" s="703" t="s">
        <v>254</v>
      </c>
      <c r="F215" s="1002"/>
      <c r="G215" s="700" t="s">
        <v>1029</v>
      </c>
      <c r="H215" s="701">
        <v>462</v>
      </c>
      <c r="I215" s="702">
        <v>-0.2</v>
      </c>
      <c r="J215" s="703">
        <v>0.2</v>
      </c>
      <c r="K215" s="1002"/>
      <c r="L215" s="700" t="s">
        <v>1030</v>
      </c>
      <c r="M215" s="701">
        <v>384</v>
      </c>
      <c r="N215" s="702">
        <v>-0.3</v>
      </c>
      <c r="O215" s="703">
        <v>0.3</v>
      </c>
      <c r="P215" s="692"/>
      <c r="Q215" s="173"/>
      <c r="R215" s="173"/>
      <c r="S215" s="173"/>
      <c r="T215" s="173"/>
      <c r="U215" s="173"/>
      <c r="V215" s="173"/>
      <c r="W215" s="173"/>
      <c r="X215" s="10"/>
      <c r="Y215" s="173"/>
      <c r="Z215" s="173"/>
      <c r="AA215" s="173"/>
      <c r="AB215" s="173"/>
      <c r="AC215" s="10"/>
      <c r="AD215" s="173"/>
      <c r="AE215" s="173"/>
      <c r="AF215" s="173"/>
      <c r="AG215" s="173"/>
      <c r="AH215" s="10"/>
      <c r="AI215" s="173"/>
      <c r="AJ215" s="173"/>
      <c r="AK215" s="173"/>
      <c r="AL215" s="173"/>
      <c r="AM215" s="173"/>
      <c r="AN215" s="173"/>
      <c r="AO215" s="173"/>
      <c r="AP215" s="173"/>
    </row>
    <row r="216" spans="1:42" ht="12.75" customHeight="1" thickBot="1">
      <c r="A216" s="1003"/>
      <c r="B216" s="704" t="s">
        <v>1031</v>
      </c>
      <c r="C216" s="705">
        <v>380</v>
      </c>
      <c r="D216" s="706">
        <v>0</v>
      </c>
      <c r="E216" s="707">
        <v>0</v>
      </c>
      <c r="F216" s="1003"/>
      <c r="G216" s="704" t="s">
        <v>1032</v>
      </c>
      <c r="H216" s="705">
        <v>472</v>
      </c>
      <c r="I216" s="706" t="s">
        <v>254</v>
      </c>
      <c r="J216" s="707" t="s">
        <v>254</v>
      </c>
      <c r="K216" s="1003"/>
      <c r="L216" s="704" t="s">
        <v>1033</v>
      </c>
      <c r="M216" s="705">
        <v>395</v>
      </c>
      <c r="N216" s="706">
        <v>0.2</v>
      </c>
      <c r="O216" s="707">
        <v>-0.2</v>
      </c>
      <c r="P216" s="692"/>
      <c r="Q216" s="173"/>
      <c r="R216" s="173"/>
      <c r="S216" s="173"/>
      <c r="T216" s="173"/>
      <c r="U216" s="173"/>
      <c r="V216" s="173"/>
      <c r="W216" s="173"/>
      <c r="X216" s="10"/>
      <c r="Y216" s="173"/>
      <c r="Z216" s="173"/>
      <c r="AA216" s="173"/>
      <c r="AB216" s="173"/>
      <c r="AC216" s="10"/>
      <c r="AD216" s="173"/>
      <c r="AE216" s="173"/>
      <c r="AF216" s="173"/>
      <c r="AG216" s="173"/>
      <c r="AH216" s="10"/>
      <c r="AI216" s="173"/>
      <c r="AJ216" s="173"/>
      <c r="AK216" s="173"/>
      <c r="AL216" s="173"/>
      <c r="AM216" s="173"/>
      <c r="AN216" s="173"/>
      <c r="AO216" s="173"/>
      <c r="AP216" s="173"/>
    </row>
    <row r="217" spans="1:42" ht="12.75" customHeight="1">
      <c r="A217" s="1001">
        <v>15</v>
      </c>
      <c r="B217" s="715" t="s">
        <v>1034</v>
      </c>
      <c r="C217" s="716">
        <v>241</v>
      </c>
      <c r="D217" s="717">
        <v>-0.45</v>
      </c>
      <c r="E217" s="718">
        <v>0.42499999999999999</v>
      </c>
      <c r="F217" s="1002">
        <v>15</v>
      </c>
      <c r="G217" s="715" t="s">
        <v>1035</v>
      </c>
      <c r="H217" s="716">
        <v>272</v>
      </c>
      <c r="I217" s="717">
        <v>0</v>
      </c>
      <c r="J217" s="718">
        <v>0</v>
      </c>
      <c r="K217" s="1002">
        <v>15</v>
      </c>
      <c r="L217" s="715" t="s">
        <v>1036</v>
      </c>
      <c r="M217" s="716">
        <v>505</v>
      </c>
      <c r="N217" s="717" t="s">
        <v>254</v>
      </c>
      <c r="O217" s="718" t="s">
        <v>254</v>
      </c>
      <c r="P217" s="692"/>
      <c r="Q217" s="173"/>
      <c r="R217" s="173"/>
      <c r="S217" s="173"/>
      <c r="T217" s="173"/>
      <c r="U217" s="173"/>
      <c r="V217" s="173"/>
      <c r="W217" s="173"/>
      <c r="X217" s="10"/>
      <c r="Y217" s="173"/>
      <c r="Z217" s="173"/>
      <c r="AA217" s="173"/>
      <c r="AB217" s="173"/>
      <c r="AC217" s="10"/>
      <c r="AD217" s="173"/>
      <c r="AE217" s="173"/>
      <c r="AF217" s="173"/>
      <c r="AG217" s="173"/>
      <c r="AH217" s="10"/>
      <c r="AI217" s="173"/>
      <c r="AJ217" s="173"/>
      <c r="AK217" s="173"/>
      <c r="AL217" s="173"/>
      <c r="AM217" s="173"/>
      <c r="AN217" s="173"/>
      <c r="AO217" s="173"/>
      <c r="AP217" s="173"/>
    </row>
    <row r="218" spans="1:42" ht="12.75" customHeight="1">
      <c r="A218" s="1002"/>
      <c r="B218" s="700" t="s">
        <v>1037</v>
      </c>
      <c r="C218" s="701">
        <v>249</v>
      </c>
      <c r="D218" s="702">
        <v>-0.5</v>
      </c>
      <c r="E218" s="703">
        <v>0.5</v>
      </c>
      <c r="F218" s="1002"/>
      <c r="G218" s="700" t="s">
        <v>1038</v>
      </c>
      <c r="H218" s="701">
        <v>283</v>
      </c>
      <c r="I218" s="702">
        <v>-0.1</v>
      </c>
      <c r="J218" s="703">
        <v>0.1</v>
      </c>
      <c r="K218" s="1002"/>
      <c r="L218" s="700" t="s">
        <v>1039</v>
      </c>
      <c r="M218" s="701">
        <v>507</v>
      </c>
      <c r="N218" s="702" t="s">
        <v>254</v>
      </c>
      <c r="O218" s="703">
        <v>0.55000000000000004</v>
      </c>
      <c r="P218" s="692"/>
      <c r="Q218" s="173"/>
      <c r="R218" s="173"/>
      <c r="S218" s="173"/>
      <c r="T218" s="173"/>
      <c r="U218" s="173"/>
      <c r="V218" s="173"/>
      <c r="W218" s="173"/>
      <c r="X218" s="10"/>
      <c r="Y218" s="173"/>
      <c r="Z218" s="173"/>
      <c r="AA218" s="173"/>
      <c r="AB218" s="173"/>
      <c r="AC218" s="10"/>
      <c r="AD218" s="173"/>
      <c r="AE218" s="173"/>
      <c r="AF218" s="173"/>
      <c r="AG218" s="173"/>
      <c r="AH218" s="10"/>
      <c r="AI218" s="173"/>
      <c r="AJ218" s="173"/>
      <c r="AK218" s="173"/>
      <c r="AL218" s="173"/>
      <c r="AM218" s="173"/>
      <c r="AN218" s="173"/>
      <c r="AO218" s="173"/>
      <c r="AP218" s="173"/>
    </row>
    <row r="219" spans="1:42" ht="12.75" customHeight="1" thickBot="1">
      <c r="A219" s="1003"/>
      <c r="B219" s="708" t="s">
        <v>1040</v>
      </c>
      <c r="C219" s="709">
        <v>250</v>
      </c>
      <c r="D219" s="710">
        <v>-0.5</v>
      </c>
      <c r="E219" s="711">
        <v>0.5</v>
      </c>
      <c r="F219" s="1002"/>
      <c r="G219" s="708" t="s">
        <v>1041</v>
      </c>
      <c r="H219" s="709">
        <v>286</v>
      </c>
      <c r="I219" s="710">
        <v>-0.1</v>
      </c>
      <c r="J219" s="711">
        <v>0.1</v>
      </c>
      <c r="K219" s="1002"/>
      <c r="L219" s="708" t="s">
        <v>1042</v>
      </c>
      <c r="M219" s="709">
        <v>512</v>
      </c>
      <c r="N219" s="710" t="s">
        <v>254</v>
      </c>
      <c r="O219" s="711">
        <v>0.65</v>
      </c>
      <c r="P219" s="692"/>
      <c r="Q219" s="173"/>
      <c r="R219" s="173"/>
      <c r="S219" s="173"/>
      <c r="T219" s="173"/>
      <c r="U219" s="173"/>
      <c r="V219" s="173"/>
      <c r="W219" s="173"/>
      <c r="X219" s="10"/>
      <c r="Y219" s="173"/>
      <c r="Z219" s="173"/>
      <c r="AA219" s="173"/>
      <c r="AB219" s="173"/>
      <c r="AC219" s="10"/>
      <c r="AD219" s="173"/>
      <c r="AE219" s="173"/>
      <c r="AF219" s="173"/>
      <c r="AG219" s="173"/>
      <c r="AH219" s="10"/>
      <c r="AI219" s="173"/>
      <c r="AJ219" s="173"/>
      <c r="AK219" s="173"/>
      <c r="AL219" s="173"/>
      <c r="AM219" s="173"/>
      <c r="AN219" s="173"/>
      <c r="AO219" s="173"/>
      <c r="AP219" s="173"/>
    </row>
    <row r="220" spans="1:42" ht="12.75" customHeight="1">
      <c r="A220" s="1001">
        <v>16</v>
      </c>
      <c r="B220" s="695" t="s">
        <v>1043</v>
      </c>
      <c r="C220" s="696">
        <v>380</v>
      </c>
      <c r="D220" s="697">
        <v>0.1</v>
      </c>
      <c r="E220" s="698">
        <v>-0.1</v>
      </c>
      <c r="F220" s="1001">
        <v>16</v>
      </c>
      <c r="G220" s="695" t="s">
        <v>1044</v>
      </c>
      <c r="H220" s="696">
        <v>227</v>
      </c>
      <c r="I220" s="697" t="s">
        <v>254</v>
      </c>
      <c r="J220" s="698" t="s">
        <v>254</v>
      </c>
      <c r="K220" s="1001">
        <v>16</v>
      </c>
      <c r="L220" s="695" t="s">
        <v>1045</v>
      </c>
      <c r="M220" s="696">
        <v>265</v>
      </c>
      <c r="N220" s="697" t="s">
        <v>254</v>
      </c>
      <c r="O220" s="698" t="s">
        <v>254</v>
      </c>
      <c r="P220" s="692"/>
      <c r="Q220" s="173"/>
      <c r="R220" s="173"/>
      <c r="S220" s="173"/>
      <c r="T220" s="173"/>
      <c r="U220" s="173"/>
      <c r="V220" s="173"/>
      <c r="W220" s="173"/>
      <c r="X220" s="10"/>
      <c r="Y220" s="173"/>
      <c r="Z220" s="173"/>
      <c r="AA220" s="173"/>
      <c r="AB220" s="173"/>
      <c r="AC220" s="10"/>
      <c r="AD220" s="173"/>
      <c r="AE220" s="173"/>
      <c r="AF220" s="173"/>
      <c r="AG220" s="173"/>
      <c r="AH220" s="10"/>
      <c r="AI220" s="173"/>
      <c r="AJ220" s="173"/>
      <c r="AK220" s="173"/>
      <c r="AL220" s="173"/>
      <c r="AM220" s="173"/>
      <c r="AN220" s="173"/>
      <c r="AO220" s="173"/>
      <c r="AP220" s="173"/>
    </row>
    <row r="221" spans="1:42" ht="12.75" customHeight="1">
      <c r="A221" s="1002"/>
      <c r="B221" s="700" t="s">
        <v>1046</v>
      </c>
      <c r="C221" s="701">
        <v>382</v>
      </c>
      <c r="D221" s="702">
        <v>0.15</v>
      </c>
      <c r="E221" s="703">
        <v>-0.15</v>
      </c>
      <c r="F221" s="1002"/>
      <c r="G221" s="700" t="s">
        <v>1047</v>
      </c>
      <c r="H221" s="701">
        <v>236</v>
      </c>
      <c r="I221" s="702">
        <v>-0.2</v>
      </c>
      <c r="J221" s="703" t="s">
        <v>254</v>
      </c>
      <c r="K221" s="1002"/>
      <c r="L221" s="700" t="s">
        <v>1048</v>
      </c>
      <c r="M221" s="701">
        <v>268</v>
      </c>
      <c r="N221" s="702" t="s">
        <v>254</v>
      </c>
      <c r="O221" s="703" t="s">
        <v>254</v>
      </c>
      <c r="P221" s="692"/>
      <c r="Q221" s="173"/>
      <c r="R221" s="173"/>
      <c r="S221" s="173"/>
      <c r="T221" s="173"/>
      <c r="U221" s="173"/>
      <c r="V221" s="173"/>
      <c r="W221" s="173"/>
      <c r="X221" s="10"/>
      <c r="Y221" s="173"/>
      <c r="Z221" s="173"/>
      <c r="AA221" s="173"/>
      <c r="AB221" s="173"/>
      <c r="AC221" s="10"/>
      <c r="AD221" s="173"/>
      <c r="AE221" s="173"/>
      <c r="AF221" s="173"/>
      <c r="AG221" s="173"/>
      <c r="AH221" s="10"/>
      <c r="AI221" s="173"/>
      <c r="AJ221" s="173"/>
      <c r="AK221" s="173"/>
      <c r="AL221" s="173"/>
      <c r="AM221" s="173"/>
      <c r="AN221" s="173"/>
      <c r="AO221" s="173"/>
      <c r="AP221" s="173"/>
    </row>
    <row r="222" spans="1:42" ht="12.75" customHeight="1" thickBot="1">
      <c r="A222" s="1003"/>
      <c r="B222" s="704" t="s">
        <v>1049</v>
      </c>
      <c r="C222" s="705">
        <v>384</v>
      </c>
      <c r="D222" s="706">
        <v>0.2</v>
      </c>
      <c r="E222" s="707">
        <v>-0.2</v>
      </c>
      <c r="F222" s="1003"/>
      <c r="G222" s="704" t="s">
        <v>1050</v>
      </c>
      <c r="H222" s="705">
        <v>246</v>
      </c>
      <c r="I222" s="706">
        <v>-0.15</v>
      </c>
      <c r="J222" s="707">
        <v>0.25</v>
      </c>
      <c r="K222" s="1003"/>
      <c r="L222" s="704" t="s">
        <v>1051</v>
      </c>
      <c r="M222" s="705">
        <v>285</v>
      </c>
      <c r="N222" s="706" t="s">
        <v>254</v>
      </c>
      <c r="O222" s="707" t="s">
        <v>254</v>
      </c>
      <c r="P222" s="692"/>
      <c r="Q222" s="173"/>
      <c r="R222" s="173"/>
      <c r="S222" s="173"/>
      <c r="T222" s="173"/>
      <c r="U222" s="173"/>
      <c r="V222" s="173"/>
      <c r="W222" s="173"/>
      <c r="X222" s="10"/>
      <c r="Y222" s="173"/>
      <c r="Z222" s="173"/>
      <c r="AA222" s="173"/>
      <c r="AB222" s="173"/>
      <c r="AC222" s="10"/>
      <c r="AD222" s="173"/>
      <c r="AE222" s="173"/>
      <c r="AF222" s="173"/>
      <c r="AG222" s="173"/>
      <c r="AH222" s="10"/>
      <c r="AI222" s="173"/>
      <c r="AJ222" s="173"/>
      <c r="AK222" s="173"/>
      <c r="AL222" s="173"/>
      <c r="AM222" s="173"/>
      <c r="AN222" s="173"/>
      <c r="AO222" s="173"/>
      <c r="AP222" s="173"/>
    </row>
    <row r="223" spans="1:42" ht="12.75" customHeight="1">
      <c r="A223" s="1001">
        <v>17</v>
      </c>
      <c r="B223" s="715" t="s">
        <v>1052</v>
      </c>
      <c r="C223" s="716">
        <v>354</v>
      </c>
      <c r="D223" s="717" t="s">
        <v>254</v>
      </c>
      <c r="E223" s="718" t="s">
        <v>254</v>
      </c>
      <c r="F223" s="1002">
        <v>17</v>
      </c>
      <c r="G223" s="715" t="s">
        <v>1053</v>
      </c>
      <c r="H223" s="716">
        <v>403</v>
      </c>
      <c r="I223" s="717" t="s">
        <v>254</v>
      </c>
      <c r="J223" s="718" t="s">
        <v>254</v>
      </c>
      <c r="K223" s="1002">
        <v>17</v>
      </c>
      <c r="L223" s="715" t="s">
        <v>1054</v>
      </c>
      <c r="M223" s="716">
        <v>424</v>
      </c>
      <c r="N223" s="717" t="s">
        <v>254</v>
      </c>
      <c r="O223" s="718" t="s">
        <v>254</v>
      </c>
      <c r="P223" s="692"/>
      <c r="Q223" s="173"/>
      <c r="R223" s="173"/>
      <c r="S223" s="173"/>
      <c r="T223" s="173"/>
      <c r="U223" s="173"/>
      <c r="V223" s="173"/>
      <c r="W223" s="173"/>
      <c r="X223" s="10"/>
      <c r="Y223" s="173"/>
      <c r="Z223" s="173"/>
      <c r="AA223" s="173"/>
      <c r="AB223" s="173"/>
      <c r="AC223" s="10"/>
      <c r="AD223" s="173"/>
      <c r="AE223" s="173"/>
      <c r="AF223" s="173"/>
      <c r="AG223" s="173"/>
      <c r="AH223" s="10"/>
      <c r="AI223" s="173"/>
      <c r="AJ223" s="173"/>
      <c r="AK223" s="173"/>
      <c r="AL223" s="173"/>
      <c r="AM223" s="173"/>
      <c r="AN223" s="173"/>
      <c r="AO223" s="173"/>
      <c r="AP223" s="173"/>
    </row>
    <row r="224" spans="1:42" ht="12.75" customHeight="1">
      <c r="A224" s="1002"/>
      <c r="B224" s="700" t="s">
        <v>1055</v>
      </c>
      <c r="C224" s="701">
        <v>358</v>
      </c>
      <c r="D224" s="702">
        <v>0.3</v>
      </c>
      <c r="E224" s="703">
        <v>-0.3</v>
      </c>
      <c r="F224" s="1002"/>
      <c r="G224" s="700" t="s">
        <v>1056</v>
      </c>
      <c r="H224" s="701">
        <v>442</v>
      </c>
      <c r="I224" s="702">
        <v>0.1</v>
      </c>
      <c r="J224" s="703">
        <v>-0.1</v>
      </c>
      <c r="K224" s="1002"/>
      <c r="L224" s="700" t="s">
        <v>1057</v>
      </c>
      <c r="M224" s="701">
        <v>427</v>
      </c>
      <c r="N224" s="702">
        <v>0.3</v>
      </c>
      <c r="O224" s="703">
        <v>-0.3</v>
      </c>
      <c r="P224" s="692"/>
      <c r="Q224" s="173"/>
      <c r="R224" s="173"/>
      <c r="S224" s="173"/>
      <c r="T224" s="173"/>
      <c r="U224" s="173"/>
      <c r="V224" s="173"/>
      <c r="W224" s="173"/>
      <c r="X224" s="10"/>
      <c r="Y224" s="173"/>
      <c r="Z224" s="173"/>
      <c r="AA224" s="173"/>
      <c r="AB224" s="173"/>
      <c r="AC224" s="10"/>
      <c r="AD224" s="173"/>
      <c r="AE224" s="173"/>
      <c r="AF224" s="173"/>
      <c r="AG224" s="173"/>
      <c r="AH224" s="10"/>
      <c r="AI224" s="173"/>
      <c r="AJ224" s="173"/>
      <c r="AK224" s="173"/>
      <c r="AL224" s="173"/>
      <c r="AM224" s="173"/>
      <c r="AN224" s="173"/>
      <c r="AO224" s="173"/>
      <c r="AP224" s="173"/>
    </row>
    <row r="225" spans="1:42" ht="12.75" customHeight="1" thickBot="1">
      <c r="A225" s="1003"/>
      <c r="B225" s="708" t="s">
        <v>1058</v>
      </c>
      <c r="C225" s="709">
        <v>364</v>
      </c>
      <c r="D225" s="710">
        <v>0.2</v>
      </c>
      <c r="E225" s="711">
        <v>-0.2</v>
      </c>
      <c r="F225" s="1002"/>
      <c r="G225" s="708" t="s">
        <v>1059</v>
      </c>
      <c r="H225" s="709">
        <v>453</v>
      </c>
      <c r="I225" s="710">
        <v>-0.15</v>
      </c>
      <c r="J225" s="711">
        <v>0.1</v>
      </c>
      <c r="K225" s="1002"/>
      <c r="L225" s="708" t="s">
        <v>1060</v>
      </c>
      <c r="M225" s="709">
        <v>435</v>
      </c>
      <c r="N225" s="710">
        <v>-0.1</v>
      </c>
      <c r="O225" s="711">
        <v>0.1</v>
      </c>
      <c r="P225" s="692"/>
      <c r="Q225" s="173"/>
      <c r="R225" s="173"/>
      <c r="S225" s="173"/>
      <c r="T225" s="173"/>
      <c r="U225" s="173"/>
      <c r="V225" s="173"/>
      <c r="W225" s="173"/>
      <c r="X225" s="10"/>
      <c r="Y225" s="173"/>
      <c r="Z225" s="173"/>
      <c r="AA225" s="173"/>
      <c r="AB225" s="173"/>
      <c r="AC225" s="10"/>
      <c r="AD225" s="173"/>
      <c r="AE225" s="173"/>
      <c r="AF225" s="173"/>
      <c r="AG225" s="173"/>
      <c r="AH225" s="10"/>
      <c r="AI225" s="173"/>
      <c r="AJ225" s="173"/>
      <c r="AK225" s="173"/>
      <c r="AL225" s="173"/>
      <c r="AM225" s="173"/>
      <c r="AN225" s="173"/>
      <c r="AO225" s="173"/>
      <c r="AP225" s="173"/>
    </row>
    <row r="226" spans="1:42" ht="12.75" customHeight="1">
      <c r="A226" s="1001">
        <v>18</v>
      </c>
      <c r="B226" s="695" t="s">
        <v>1061</v>
      </c>
      <c r="C226" s="696">
        <v>343</v>
      </c>
      <c r="D226" s="697" t="s">
        <v>254</v>
      </c>
      <c r="E226" s="698" t="s">
        <v>254</v>
      </c>
      <c r="F226" s="1001">
        <v>18</v>
      </c>
      <c r="G226" s="695" t="s">
        <v>1062</v>
      </c>
      <c r="H226" s="696">
        <v>405</v>
      </c>
      <c r="I226" s="697" t="s">
        <v>254</v>
      </c>
      <c r="J226" s="698" t="s">
        <v>254</v>
      </c>
      <c r="K226" s="1001">
        <v>18</v>
      </c>
      <c r="L226" s="695" t="s">
        <v>1063</v>
      </c>
      <c r="M226" s="696">
        <v>455</v>
      </c>
      <c r="N226" s="697">
        <v>-0.25</v>
      </c>
      <c r="O226" s="698">
        <v>0.35</v>
      </c>
      <c r="P226" s="692"/>
      <c r="Q226" s="173"/>
      <c r="R226" s="173"/>
      <c r="S226" s="173"/>
      <c r="T226" s="173"/>
      <c r="U226" s="173"/>
      <c r="V226" s="173"/>
      <c r="W226" s="173"/>
      <c r="X226" s="10"/>
      <c r="Y226" s="173"/>
      <c r="Z226" s="173"/>
      <c r="AA226" s="173"/>
      <c r="AB226" s="173"/>
      <c r="AC226" s="10"/>
      <c r="AD226" s="173"/>
      <c r="AE226" s="173"/>
      <c r="AF226" s="173"/>
      <c r="AG226" s="173"/>
      <c r="AH226" s="10"/>
      <c r="AI226" s="173"/>
      <c r="AJ226" s="173"/>
      <c r="AK226" s="173"/>
      <c r="AL226" s="173"/>
      <c r="AM226" s="173"/>
      <c r="AN226" s="173"/>
      <c r="AO226" s="173"/>
      <c r="AP226" s="173"/>
    </row>
    <row r="227" spans="1:42" ht="12.75" customHeight="1">
      <c r="A227" s="1002"/>
      <c r="B227" s="700" t="s">
        <v>1064</v>
      </c>
      <c r="C227" s="701">
        <v>346</v>
      </c>
      <c r="D227" s="702">
        <v>0.7</v>
      </c>
      <c r="E227" s="703">
        <v>-0.7</v>
      </c>
      <c r="F227" s="1002"/>
      <c r="G227" s="700" t="s">
        <v>1065</v>
      </c>
      <c r="H227" s="701">
        <v>434</v>
      </c>
      <c r="I227" s="702">
        <v>0.3</v>
      </c>
      <c r="J227" s="703">
        <v>-0.3</v>
      </c>
      <c r="K227" s="1002"/>
      <c r="L227" s="700" t="s">
        <v>1066</v>
      </c>
      <c r="M227" s="701">
        <v>461</v>
      </c>
      <c r="N227" s="702" t="s">
        <v>254</v>
      </c>
      <c r="O227" s="703" t="s">
        <v>254</v>
      </c>
      <c r="P227" s="692"/>
      <c r="Q227" s="173"/>
      <c r="R227" s="173"/>
      <c r="S227" s="173"/>
      <c r="T227" s="173"/>
      <c r="U227" s="173"/>
      <c r="V227" s="173"/>
      <c r="W227" s="173"/>
      <c r="X227" s="10"/>
      <c r="Y227" s="173"/>
      <c r="Z227" s="173"/>
      <c r="AA227" s="173"/>
      <c r="AB227" s="173"/>
      <c r="AC227" s="10"/>
      <c r="AD227" s="173"/>
      <c r="AE227" s="173"/>
      <c r="AF227" s="173"/>
      <c r="AG227" s="173"/>
      <c r="AH227" s="10"/>
      <c r="AI227" s="173"/>
      <c r="AJ227" s="173"/>
      <c r="AK227" s="173"/>
      <c r="AL227" s="173"/>
      <c r="AM227" s="173"/>
      <c r="AN227" s="173"/>
      <c r="AO227" s="173"/>
      <c r="AP227" s="173"/>
    </row>
    <row r="228" spans="1:42" ht="12.75" customHeight="1" thickBot="1">
      <c r="A228" s="1002"/>
      <c r="B228" s="704" t="s">
        <v>1067</v>
      </c>
      <c r="C228" s="705">
        <v>347</v>
      </c>
      <c r="D228" s="706">
        <v>0.55000000000000004</v>
      </c>
      <c r="E228" s="707">
        <v>-0.55000000000000004</v>
      </c>
      <c r="F228" s="1003"/>
      <c r="G228" s="704" t="s">
        <v>1068</v>
      </c>
      <c r="H228" s="705">
        <v>444</v>
      </c>
      <c r="I228" s="706" t="s">
        <v>254</v>
      </c>
      <c r="J228" s="707" t="s">
        <v>254</v>
      </c>
      <c r="K228" s="1003"/>
      <c r="L228" s="704" t="s">
        <v>1069</v>
      </c>
      <c r="M228" s="705">
        <v>476</v>
      </c>
      <c r="N228" s="706">
        <v>0</v>
      </c>
      <c r="O228" s="707">
        <v>0</v>
      </c>
      <c r="P228" s="692"/>
      <c r="Q228" s="173"/>
      <c r="R228" s="173"/>
      <c r="S228" s="173"/>
      <c r="T228" s="173"/>
      <c r="U228" s="173"/>
      <c r="V228" s="173"/>
      <c r="W228" s="173"/>
      <c r="X228" s="10"/>
      <c r="Y228" s="173"/>
      <c r="Z228" s="173"/>
      <c r="AA228" s="173"/>
      <c r="AB228" s="173"/>
      <c r="AC228" s="10"/>
      <c r="AD228" s="173"/>
      <c r="AE228" s="173"/>
      <c r="AF228" s="173"/>
      <c r="AG228" s="173"/>
      <c r="AH228" s="10"/>
      <c r="AI228" s="173"/>
      <c r="AJ228" s="173"/>
      <c r="AK228" s="173"/>
      <c r="AL228" s="173"/>
      <c r="AM228" s="173"/>
      <c r="AN228" s="173"/>
      <c r="AO228" s="173"/>
      <c r="AP228" s="173"/>
    </row>
    <row r="229" spans="1:42" ht="12.75" customHeight="1" thickBot="1">
      <c r="A229" s="1004" t="s">
        <v>1070</v>
      </c>
      <c r="B229" s="1004"/>
      <c r="C229" s="1004"/>
      <c r="D229" s="1004"/>
      <c r="E229" s="1004"/>
      <c r="F229" s="1004" t="s">
        <v>1071</v>
      </c>
      <c r="G229" s="1004"/>
      <c r="H229" s="1004"/>
      <c r="I229" s="1004"/>
      <c r="J229" s="1004"/>
      <c r="K229" s="1004" t="s">
        <v>16</v>
      </c>
      <c r="L229" s="1004"/>
      <c r="M229" s="1004"/>
      <c r="N229" s="1004"/>
      <c r="O229" s="1004"/>
      <c r="P229" s="692"/>
      <c r="Q229" s="173"/>
      <c r="R229" s="173"/>
      <c r="S229" s="173"/>
      <c r="T229" s="173"/>
      <c r="U229" s="173"/>
      <c r="V229" s="173"/>
      <c r="W229" s="173"/>
      <c r="X229" s="10"/>
      <c r="Y229" s="173"/>
      <c r="Z229" s="173"/>
      <c r="AA229" s="173"/>
      <c r="AB229" s="173"/>
      <c r="AC229" s="10"/>
      <c r="AD229" s="173"/>
      <c r="AE229" s="173"/>
      <c r="AF229" s="173"/>
      <c r="AG229" s="173"/>
      <c r="AH229" s="10"/>
      <c r="AI229" s="173"/>
      <c r="AJ229" s="173"/>
      <c r="AK229" s="173"/>
      <c r="AL229" s="173"/>
      <c r="AM229" s="173"/>
      <c r="AN229" s="173"/>
      <c r="AO229" s="173"/>
      <c r="AP229" s="173"/>
    </row>
    <row r="230" spans="1:42" ht="12.75" customHeight="1" thickBot="1">
      <c r="A230" s="1004"/>
      <c r="B230" s="1004"/>
      <c r="C230" s="1004"/>
      <c r="D230" s="1004"/>
      <c r="E230" s="1004"/>
      <c r="F230" s="1004"/>
      <c r="G230" s="1004"/>
      <c r="H230" s="1004"/>
      <c r="I230" s="1004"/>
      <c r="J230" s="1004"/>
      <c r="K230" s="1004"/>
      <c r="L230" s="1004"/>
      <c r="M230" s="1004"/>
      <c r="N230" s="1004"/>
      <c r="O230" s="1004"/>
      <c r="P230" s="692"/>
      <c r="Q230" s="173"/>
      <c r="R230" s="173"/>
      <c r="S230" s="173"/>
      <c r="T230" s="173"/>
      <c r="U230" s="173"/>
      <c r="V230" s="173"/>
      <c r="W230" s="173"/>
      <c r="X230" s="10"/>
      <c r="Y230" s="173"/>
      <c r="Z230" s="173"/>
      <c r="AA230" s="173"/>
      <c r="AB230" s="173"/>
      <c r="AC230" s="10"/>
      <c r="AD230" s="173"/>
      <c r="AE230" s="173"/>
      <c r="AF230" s="173"/>
      <c r="AG230" s="173"/>
      <c r="AH230" s="10"/>
      <c r="AI230" s="173"/>
      <c r="AJ230" s="173"/>
      <c r="AK230" s="173"/>
      <c r="AL230" s="173"/>
      <c r="AM230" s="173"/>
      <c r="AN230" s="173"/>
      <c r="AO230" s="173"/>
      <c r="AP230" s="173"/>
    </row>
    <row r="231" spans="1:42" ht="12.75" customHeight="1" thickBot="1">
      <c r="A231" s="1005" t="s">
        <v>261</v>
      </c>
      <c r="B231" s="1005"/>
      <c r="C231" s="722" t="s">
        <v>470</v>
      </c>
      <c r="D231" s="722" t="s">
        <v>471</v>
      </c>
      <c r="E231" s="722" t="s">
        <v>472</v>
      </c>
      <c r="F231" s="1005" t="s">
        <v>261</v>
      </c>
      <c r="G231" s="1005"/>
      <c r="H231" s="722" t="s">
        <v>470</v>
      </c>
      <c r="I231" s="722" t="s">
        <v>471</v>
      </c>
      <c r="J231" s="722" t="s">
        <v>472</v>
      </c>
      <c r="K231" s="1005" t="s">
        <v>261</v>
      </c>
      <c r="L231" s="1005"/>
      <c r="M231" s="722" t="s">
        <v>470</v>
      </c>
      <c r="N231" s="722" t="s">
        <v>471</v>
      </c>
      <c r="O231" s="722" t="s">
        <v>472</v>
      </c>
      <c r="P231" s="692"/>
      <c r="Q231" s="173"/>
      <c r="R231" s="173"/>
      <c r="S231" s="173"/>
      <c r="T231" s="173"/>
      <c r="U231" s="173"/>
      <c r="V231" s="173"/>
      <c r="W231" s="173"/>
      <c r="X231" s="10"/>
      <c r="Y231" s="173"/>
      <c r="Z231" s="173"/>
      <c r="AA231" s="173"/>
      <c r="AB231" s="173"/>
      <c r="AC231" s="10"/>
      <c r="AD231" s="173"/>
      <c r="AE231" s="173"/>
      <c r="AF231" s="173"/>
      <c r="AG231" s="173"/>
      <c r="AH231" s="10"/>
      <c r="AI231" s="173"/>
      <c r="AJ231" s="173"/>
      <c r="AK231" s="173"/>
      <c r="AL231" s="173"/>
      <c r="AM231" s="173"/>
      <c r="AN231" s="173"/>
      <c r="AO231" s="173"/>
      <c r="AP231" s="173"/>
    </row>
    <row r="232" spans="1:42" ht="12.75" customHeight="1">
      <c r="A232" s="1002">
        <v>1</v>
      </c>
      <c r="B232" s="695" t="s">
        <v>475</v>
      </c>
      <c r="C232" s="696" t="s">
        <v>134</v>
      </c>
      <c r="D232" s="697" t="s">
        <v>254</v>
      </c>
      <c r="E232" s="698" t="s">
        <v>254</v>
      </c>
      <c r="F232" s="1002">
        <v>1</v>
      </c>
      <c r="G232" s="695" t="s">
        <v>1072</v>
      </c>
      <c r="H232" s="696">
        <v>359</v>
      </c>
      <c r="I232" s="697">
        <v>0</v>
      </c>
      <c r="J232" s="698">
        <v>0</v>
      </c>
      <c r="K232" s="1002">
        <v>1</v>
      </c>
      <c r="L232" s="695" t="s">
        <v>1073</v>
      </c>
      <c r="M232" s="696" t="s">
        <v>134</v>
      </c>
      <c r="N232" s="697" t="s">
        <v>254</v>
      </c>
      <c r="O232" s="698" t="s">
        <v>254</v>
      </c>
      <c r="P232" s="692"/>
      <c r="Q232" s="173"/>
      <c r="R232" s="173"/>
      <c r="S232" s="173"/>
      <c r="T232" s="173"/>
      <c r="U232" s="173"/>
      <c r="V232" s="173"/>
      <c r="W232" s="173"/>
      <c r="X232" s="10"/>
      <c r="Y232" s="173"/>
      <c r="Z232" s="173"/>
      <c r="AA232" s="173"/>
      <c r="AB232" s="173"/>
      <c r="AC232" s="10"/>
      <c r="AD232" s="173"/>
      <c r="AE232" s="173"/>
      <c r="AF232" s="173"/>
      <c r="AG232" s="173"/>
      <c r="AH232" s="10"/>
      <c r="AI232" s="173"/>
      <c r="AJ232" s="173"/>
      <c r="AK232" s="173"/>
      <c r="AL232" s="173"/>
      <c r="AM232" s="173"/>
      <c r="AN232" s="173"/>
      <c r="AO232" s="173"/>
      <c r="AP232" s="173"/>
    </row>
    <row r="233" spans="1:42" ht="12.75" customHeight="1">
      <c r="A233" s="1002"/>
      <c r="B233" s="700" t="s">
        <v>478</v>
      </c>
      <c r="C233" s="701" t="s">
        <v>134</v>
      </c>
      <c r="D233" s="702" t="s">
        <v>254</v>
      </c>
      <c r="E233" s="703" t="s">
        <v>254</v>
      </c>
      <c r="F233" s="1002"/>
      <c r="G233" s="700" t="s">
        <v>1074</v>
      </c>
      <c r="H233" s="701">
        <v>371</v>
      </c>
      <c r="I233" s="702">
        <v>0</v>
      </c>
      <c r="J233" s="703">
        <v>0.2</v>
      </c>
      <c r="K233" s="1002"/>
      <c r="L233" s="700" t="s">
        <v>1075</v>
      </c>
      <c r="M233" s="701" t="s">
        <v>134</v>
      </c>
      <c r="N233" s="702" t="s">
        <v>254</v>
      </c>
      <c r="O233" s="703" t="s">
        <v>254</v>
      </c>
      <c r="P233" s="692"/>
      <c r="Q233" s="173"/>
      <c r="R233" s="173"/>
      <c r="S233" s="173"/>
      <c r="T233" s="173"/>
      <c r="U233" s="173"/>
      <c r="V233" s="173"/>
      <c r="W233" s="173"/>
      <c r="X233" s="10"/>
      <c r="Y233" s="173"/>
      <c r="Z233" s="173"/>
      <c r="AA233" s="173"/>
      <c r="AB233" s="173"/>
      <c r="AC233" s="10"/>
      <c r="AD233" s="173"/>
      <c r="AE233" s="173"/>
      <c r="AF233" s="173"/>
      <c r="AG233" s="173"/>
      <c r="AH233" s="10"/>
      <c r="AI233" s="173"/>
      <c r="AJ233" s="173"/>
      <c r="AK233" s="173"/>
      <c r="AL233" s="173"/>
      <c r="AM233" s="173"/>
      <c r="AN233" s="173"/>
      <c r="AO233" s="173"/>
      <c r="AP233" s="173"/>
    </row>
    <row r="234" spans="1:42" ht="12.75" customHeight="1" thickBot="1">
      <c r="A234" s="1003"/>
      <c r="B234" s="708" t="s">
        <v>481</v>
      </c>
      <c r="C234" s="709" t="s">
        <v>134</v>
      </c>
      <c r="D234" s="710" t="s">
        <v>254</v>
      </c>
      <c r="E234" s="711" t="s">
        <v>254</v>
      </c>
      <c r="F234" s="1002"/>
      <c r="G234" s="708" t="s">
        <v>1076</v>
      </c>
      <c r="H234" s="709">
        <v>374</v>
      </c>
      <c r="I234" s="710">
        <v>0.1</v>
      </c>
      <c r="J234" s="711">
        <v>-0.1</v>
      </c>
      <c r="K234" s="1002"/>
      <c r="L234" s="708" t="s">
        <v>1077</v>
      </c>
      <c r="M234" s="709" t="s">
        <v>134</v>
      </c>
      <c r="N234" s="710" t="s">
        <v>254</v>
      </c>
      <c r="O234" s="711" t="s">
        <v>254</v>
      </c>
      <c r="P234" s="692"/>
      <c r="Q234" s="173"/>
      <c r="R234" s="173"/>
      <c r="S234" s="173"/>
      <c r="T234" s="173"/>
      <c r="U234" s="173"/>
      <c r="V234" s="173"/>
      <c r="W234" s="173"/>
      <c r="X234" s="10"/>
      <c r="Y234" s="173"/>
      <c r="Z234" s="173"/>
      <c r="AA234" s="173"/>
      <c r="AB234" s="173"/>
      <c r="AC234" s="10"/>
      <c r="AD234" s="173"/>
      <c r="AE234" s="173"/>
      <c r="AF234" s="173"/>
      <c r="AG234" s="173"/>
      <c r="AH234" s="10"/>
      <c r="AI234" s="173"/>
      <c r="AJ234" s="173"/>
      <c r="AK234" s="173"/>
      <c r="AL234" s="173"/>
      <c r="AM234" s="173"/>
      <c r="AN234" s="173"/>
      <c r="AO234" s="173"/>
      <c r="AP234" s="173"/>
    </row>
    <row r="235" spans="1:42" ht="12.75" customHeight="1">
      <c r="A235" s="1001">
        <v>2</v>
      </c>
      <c r="B235" s="695" t="s">
        <v>484</v>
      </c>
      <c r="C235" s="696">
        <v>496</v>
      </c>
      <c r="D235" s="697" t="s">
        <v>254</v>
      </c>
      <c r="E235" s="698" t="s">
        <v>254</v>
      </c>
      <c r="F235" s="1001">
        <v>2</v>
      </c>
      <c r="G235" s="695" t="s">
        <v>1078</v>
      </c>
      <c r="H235" s="696">
        <v>261</v>
      </c>
      <c r="I235" s="697" t="s">
        <v>254</v>
      </c>
      <c r="J235" s="698" t="s">
        <v>254</v>
      </c>
      <c r="K235" s="1001">
        <v>2</v>
      </c>
      <c r="L235" s="695" t="s">
        <v>1079</v>
      </c>
      <c r="M235" s="696">
        <v>303</v>
      </c>
      <c r="N235" s="697" t="s">
        <v>254</v>
      </c>
      <c r="O235" s="698" t="s">
        <v>254</v>
      </c>
      <c r="P235" s="692"/>
      <c r="Q235" s="173"/>
      <c r="R235" s="173"/>
      <c r="S235" s="173"/>
      <c r="T235" s="173"/>
      <c r="U235" s="173"/>
      <c r="V235" s="173"/>
      <c r="W235" s="173"/>
      <c r="X235" s="10"/>
      <c r="Y235" s="173"/>
      <c r="Z235" s="173"/>
      <c r="AA235" s="173"/>
      <c r="AB235" s="173"/>
      <c r="AC235" s="10"/>
      <c r="AD235" s="173"/>
      <c r="AE235" s="173"/>
      <c r="AF235" s="173"/>
      <c r="AG235" s="173"/>
      <c r="AH235" s="10"/>
      <c r="AI235" s="173"/>
      <c r="AJ235" s="173"/>
      <c r="AK235" s="173"/>
      <c r="AL235" s="173"/>
      <c r="AM235" s="173"/>
      <c r="AN235" s="173"/>
      <c r="AO235" s="173"/>
      <c r="AP235" s="173"/>
    </row>
    <row r="236" spans="1:42" ht="12.75" customHeight="1">
      <c r="A236" s="1002"/>
      <c r="B236" s="700" t="s">
        <v>487</v>
      </c>
      <c r="C236" s="701">
        <v>501</v>
      </c>
      <c r="D236" s="702" t="s">
        <v>254</v>
      </c>
      <c r="E236" s="703" t="s">
        <v>254</v>
      </c>
      <c r="F236" s="1002"/>
      <c r="G236" s="700" t="s">
        <v>1080</v>
      </c>
      <c r="H236" s="701">
        <v>263</v>
      </c>
      <c r="I236" s="702">
        <v>-0.5</v>
      </c>
      <c r="J236" s="703">
        <v>0.5</v>
      </c>
      <c r="K236" s="1002"/>
      <c r="L236" s="700" t="s">
        <v>1081</v>
      </c>
      <c r="M236" s="701">
        <v>312</v>
      </c>
      <c r="N236" s="702" t="s">
        <v>254</v>
      </c>
      <c r="O236" s="703" t="s">
        <v>254</v>
      </c>
      <c r="P236" s="692"/>
      <c r="Q236" s="173"/>
      <c r="R236" s="173"/>
      <c r="S236" s="173"/>
      <c r="T236" s="173"/>
      <c r="U236" s="173"/>
      <c r="V236" s="173"/>
      <c r="W236" s="173"/>
      <c r="X236" s="10"/>
      <c r="Y236" s="173"/>
      <c r="Z236" s="173"/>
      <c r="AA236" s="173"/>
      <c r="AB236" s="173"/>
      <c r="AC236" s="10"/>
      <c r="AD236" s="173"/>
      <c r="AE236" s="173"/>
      <c r="AF236" s="173"/>
      <c r="AG236" s="173"/>
      <c r="AH236" s="10"/>
      <c r="AI236" s="173"/>
      <c r="AJ236" s="173"/>
      <c r="AK236" s="173"/>
      <c r="AL236" s="173"/>
      <c r="AM236" s="173"/>
      <c r="AN236" s="173"/>
      <c r="AO236" s="173"/>
      <c r="AP236" s="173"/>
    </row>
    <row r="237" spans="1:42" ht="12.75" customHeight="1" thickBot="1">
      <c r="A237" s="1003"/>
      <c r="B237" s="704" t="s">
        <v>490</v>
      </c>
      <c r="C237" s="705">
        <v>513</v>
      </c>
      <c r="D237" s="706" t="s">
        <v>254</v>
      </c>
      <c r="E237" s="707" t="s">
        <v>254</v>
      </c>
      <c r="F237" s="1003"/>
      <c r="G237" s="704" t="s">
        <v>1082</v>
      </c>
      <c r="H237" s="705">
        <v>273</v>
      </c>
      <c r="I237" s="706" t="s">
        <v>254</v>
      </c>
      <c r="J237" s="707" t="s">
        <v>254</v>
      </c>
      <c r="K237" s="1003"/>
      <c r="L237" s="704" t="s">
        <v>1083</v>
      </c>
      <c r="M237" s="705">
        <v>320</v>
      </c>
      <c r="N237" s="706" t="s">
        <v>254</v>
      </c>
      <c r="O237" s="707" t="s">
        <v>254</v>
      </c>
      <c r="P237" s="692"/>
      <c r="Q237" s="173"/>
      <c r="R237" s="173"/>
      <c r="S237" s="173"/>
      <c r="T237" s="173"/>
      <c r="U237" s="173"/>
      <c r="V237" s="173"/>
      <c r="W237" s="173"/>
      <c r="X237" s="10"/>
      <c r="Y237" s="173"/>
      <c r="Z237" s="173"/>
      <c r="AA237" s="173"/>
      <c r="AB237" s="173"/>
      <c r="AC237" s="10"/>
      <c r="AD237" s="173"/>
      <c r="AE237" s="173"/>
      <c r="AF237" s="173"/>
      <c r="AG237" s="173"/>
      <c r="AH237" s="10"/>
      <c r="AI237" s="173"/>
      <c r="AJ237" s="173"/>
      <c r="AK237" s="173"/>
      <c r="AL237" s="173"/>
      <c r="AM237" s="173"/>
      <c r="AN237" s="173"/>
      <c r="AO237" s="173"/>
      <c r="AP237" s="173"/>
    </row>
    <row r="238" spans="1:42" ht="12.75" customHeight="1">
      <c r="A238" s="1001">
        <v>3</v>
      </c>
      <c r="B238" s="715" t="s">
        <v>493</v>
      </c>
      <c r="C238" s="716">
        <v>221</v>
      </c>
      <c r="D238" s="717" t="s">
        <v>254</v>
      </c>
      <c r="E238" s="718" t="s">
        <v>254</v>
      </c>
      <c r="F238" s="1002">
        <v>3</v>
      </c>
      <c r="G238" s="715" t="s">
        <v>1084</v>
      </c>
      <c r="H238" s="716">
        <v>461</v>
      </c>
      <c r="I238" s="717" t="s">
        <v>254</v>
      </c>
      <c r="J238" s="718" t="s">
        <v>254</v>
      </c>
      <c r="K238" s="1002">
        <v>3</v>
      </c>
      <c r="L238" s="715" t="s">
        <v>1085</v>
      </c>
      <c r="M238" s="716" t="s">
        <v>134</v>
      </c>
      <c r="N238" s="717" t="s">
        <v>254</v>
      </c>
      <c r="O238" s="718" t="s">
        <v>254</v>
      </c>
      <c r="P238" s="692"/>
      <c r="Q238" s="173"/>
      <c r="R238" s="173"/>
      <c r="S238" s="173"/>
      <c r="T238" s="173"/>
      <c r="U238" s="173"/>
      <c r="V238" s="173"/>
      <c r="W238" s="173"/>
      <c r="X238" s="10"/>
      <c r="Y238" s="173"/>
      <c r="Z238" s="173"/>
      <c r="AA238" s="173"/>
      <c r="AB238" s="173"/>
      <c r="AC238" s="10"/>
      <c r="AD238" s="173"/>
      <c r="AE238" s="173"/>
      <c r="AF238" s="173"/>
      <c r="AG238" s="173"/>
      <c r="AH238" s="10"/>
      <c r="AI238" s="173"/>
      <c r="AJ238" s="173"/>
      <c r="AK238" s="173"/>
      <c r="AL238" s="173"/>
      <c r="AM238" s="173"/>
      <c r="AN238" s="173"/>
      <c r="AO238" s="173"/>
      <c r="AP238" s="173"/>
    </row>
    <row r="239" spans="1:42" ht="12.75" customHeight="1">
      <c r="A239" s="1002"/>
      <c r="B239" s="700" t="s">
        <v>496</v>
      </c>
      <c r="C239" s="701">
        <v>238</v>
      </c>
      <c r="D239" s="702" t="s">
        <v>254</v>
      </c>
      <c r="E239" s="703" t="s">
        <v>254</v>
      </c>
      <c r="F239" s="1002"/>
      <c r="G239" s="700" t="s">
        <v>1086</v>
      </c>
      <c r="H239" s="701">
        <v>463</v>
      </c>
      <c r="I239" s="702" t="s">
        <v>254</v>
      </c>
      <c r="J239" s="703" t="s">
        <v>254</v>
      </c>
      <c r="K239" s="1002"/>
      <c r="L239" s="700" t="s">
        <v>1087</v>
      </c>
      <c r="M239" s="701" t="s">
        <v>134</v>
      </c>
      <c r="N239" s="702" t="s">
        <v>254</v>
      </c>
      <c r="O239" s="703" t="s">
        <v>254</v>
      </c>
      <c r="P239" s="692"/>
      <c r="Q239" s="173"/>
      <c r="R239" s="173"/>
      <c r="S239" s="173"/>
      <c r="T239" s="173"/>
      <c r="U239" s="173"/>
      <c r="V239" s="173"/>
      <c r="W239" s="173"/>
      <c r="X239" s="10"/>
      <c r="Y239" s="173"/>
      <c r="Z239" s="173"/>
      <c r="AA239" s="173"/>
      <c r="AB239" s="173"/>
      <c r="AC239" s="10"/>
      <c r="AD239" s="173"/>
      <c r="AE239" s="173"/>
      <c r="AF239" s="173"/>
      <c r="AG239" s="173"/>
      <c r="AH239" s="10"/>
      <c r="AI239" s="173"/>
      <c r="AJ239" s="173"/>
      <c r="AK239" s="173"/>
      <c r="AL239" s="173"/>
      <c r="AM239" s="173"/>
      <c r="AN239" s="173"/>
      <c r="AO239" s="173"/>
      <c r="AP239" s="173"/>
    </row>
    <row r="240" spans="1:42" ht="12.75" customHeight="1" thickBot="1">
      <c r="A240" s="1003"/>
      <c r="B240" s="708" t="s">
        <v>499</v>
      </c>
      <c r="C240" s="709">
        <v>243</v>
      </c>
      <c r="D240" s="710" t="s">
        <v>254</v>
      </c>
      <c r="E240" s="711" t="s">
        <v>254</v>
      </c>
      <c r="F240" s="1002"/>
      <c r="G240" s="708" t="s">
        <v>1088</v>
      </c>
      <c r="H240" s="709">
        <v>473</v>
      </c>
      <c r="I240" s="710" t="s">
        <v>254</v>
      </c>
      <c r="J240" s="711" t="s">
        <v>254</v>
      </c>
      <c r="K240" s="1002"/>
      <c r="L240" s="708" t="s">
        <v>1089</v>
      </c>
      <c r="M240" s="709" t="s">
        <v>134</v>
      </c>
      <c r="N240" s="710" t="s">
        <v>254</v>
      </c>
      <c r="O240" s="711" t="s">
        <v>254</v>
      </c>
      <c r="P240" s="692"/>
      <c r="Q240" s="173"/>
      <c r="R240" s="173"/>
      <c r="S240" s="173"/>
      <c r="T240" s="173"/>
      <c r="U240" s="173"/>
      <c r="V240" s="173"/>
      <c r="W240" s="173"/>
      <c r="X240" s="10"/>
      <c r="Y240" s="173"/>
      <c r="Z240" s="173"/>
      <c r="AA240" s="173"/>
      <c r="AB240" s="173"/>
      <c r="AC240" s="10"/>
      <c r="AD240" s="173"/>
      <c r="AE240" s="173"/>
      <c r="AF240" s="173"/>
      <c r="AG240" s="173"/>
      <c r="AH240" s="10"/>
      <c r="AI240" s="173"/>
      <c r="AJ240" s="173"/>
      <c r="AK240" s="173"/>
      <c r="AL240" s="173"/>
      <c r="AM240" s="173"/>
      <c r="AN240" s="173"/>
      <c r="AO240" s="173"/>
      <c r="AP240" s="173"/>
    </row>
    <row r="241" spans="1:42" ht="12.75" customHeight="1">
      <c r="A241" s="1001">
        <v>4</v>
      </c>
      <c r="B241" s="695" t="s">
        <v>502</v>
      </c>
      <c r="C241" s="696">
        <v>222</v>
      </c>
      <c r="D241" s="697">
        <v>-0.1</v>
      </c>
      <c r="E241" s="698">
        <v>0.1</v>
      </c>
      <c r="F241" s="1001">
        <v>4</v>
      </c>
      <c r="G241" s="695" t="s">
        <v>1090</v>
      </c>
      <c r="H241" s="696">
        <v>473</v>
      </c>
      <c r="I241" s="697">
        <v>0</v>
      </c>
      <c r="J241" s="698">
        <v>0</v>
      </c>
      <c r="K241" s="1001">
        <v>4</v>
      </c>
      <c r="L241" s="695" t="s">
        <v>1091</v>
      </c>
      <c r="M241" s="696" t="s">
        <v>134</v>
      </c>
      <c r="N241" s="697" t="s">
        <v>254</v>
      </c>
      <c r="O241" s="698" t="s">
        <v>254</v>
      </c>
      <c r="P241" s="692"/>
      <c r="Q241" s="173"/>
      <c r="R241" s="173"/>
      <c r="S241" s="173"/>
      <c r="T241" s="173"/>
      <c r="U241" s="173"/>
      <c r="V241" s="173"/>
      <c r="W241" s="173"/>
      <c r="X241" s="10"/>
      <c r="Y241" s="173"/>
      <c r="Z241" s="173"/>
      <c r="AA241" s="173"/>
      <c r="AB241" s="173"/>
      <c r="AC241" s="10"/>
      <c r="AD241" s="173"/>
      <c r="AE241" s="173"/>
      <c r="AF241" s="173"/>
      <c r="AG241" s="173"/>
      <c r="AH241" s="10"/>
      <c r="AI241" s="173"/>
      <c r="AJ241" s="173"/>
      <c r="AK241" s="173"/>
      <c r="AL241" s="173"/>
      <c r="AM241" s="173"/>
      <c r="AN241" s="173"/>
      <c r="AO241" s="173"/>
      <c r="AP241" s="173"/>
    </row>
    <row r="242" spans="1:42" ht="12.75" customHeight="1">
      <c r="A242" s="1002"/>
      <c r="B242" s="700" t="s">
        <v>505</v>
      </c>
      <c r="C242" s="701">
        <v>237</v>
      </c>
      <c r="D242" s="702">
        <v>-0.5</v>
      </c>
      <c r="E242" s="703">
        <v>0.5</v>
      </c>
      <c r="F242" s="1002"/>
      <c r="G242" s="700" t="s">
        <v>1092</v>
      </c>
      <c r="H242" s="701">
        <v>477</v>
      </c>
      <c r="I242" s="702">
        <v>-0.05</v>
      </c>
      <c r="J242" s="703">
        <v>0.05</v>
      </c>
      <c r="K242" s="1002"/>
      <c r="L242" s="700" t="s">
        <v>1093</v>
      </c>
      <c r="M242" s="701">
        <v>461</v>
      </c>
      <c r="N242" s="702" t="s">
        <v>254</v>
      </c>
      <c r="O242" s="703" t="s">
        <v>254</v>
      </c>
      <c r="P242" s="692"/>
      <c r="Q242" s="173"/>
      <c r="R242" s="173"/>
      <c r="S242" s="173"/>
      <c r="T242" s="173"/>
      <c r="U242" s="173"/>
      <c r="V242" s="173"/>
      <c r="W242" s="173"/>
      <c r="X242" s="10"/>
      <c r="Y242" s="173"/>
      <c r="Z242" s="173"/>
      <c r="AA242" s="173"/>
      <c r="AB242" s="173"/>
      <c r="AC242" s="10"/>
      <c r="AD242" s="173"/>
      <c r="AE242" s="173"/>
      <c r="AF242" s="173"/>
      <c r="AG242" s="173"/>
      <c r="AH242" s="10"/>
      <c r="AI242" s="173"/>
      <c r="AJ242" s="173"/>
      <c r="AK242" s="173"/>
      <c r="AL242" s="173"/>
      <c r="AM242" s="173"/>
      <c r="AN242" s="173"/>
      <c r="AO242" s="173"/>
      <c r="AP242" s="173"/>
    </row>
    <row r="243" spans="1:42" ht="12.75" customHeight="1" thickBot="1">
      <c r="A243" s="1003"/>
      <c r="B243" s="704" t="s">
        <v>508</v>
      </c>
      <c r="C243" s="705">
        <v>244</v>
      </c>
      <c r="D243" s="706">
        <v>-0.45</v>
      </c>
      <c r="E243" s="707">
        <v>0.45</v>
      </c>
      <c r="F243" s="1003"/>
      <c r="G243" s="704" t="s">
        <v>1094</v>
      </c>
      <c r="H243" s="705">
        <v>486</v>
      </c>
      <c r="I243" s="706">
        <v>0</v>
      </c>
      <c r="J243" s="707">
        <v>0</v>
      </c>
      <c r="K243" s="1003"/>
      <c r="L243" s="704" t="s">
        <v>1095</v>
      </c>
      <c r="M243" s="705" t="s">
        <v>134</v>
      </c>
      <c r="N243" s="706" t="s">
        <v>254</v>
      </c>
      <c r="O243" s="707" t="s">
        <v>254</v>
      </c>
      <c r="P243" s="692"/>
      <c r="Q243" s="173"/>
      <c r="R243" s="173"/>
      <c r="S243" s="173"/>
      <c r="T243" s="173"/>
      <c r="U243" s="173"/>
      <c r="V243" s="173"/>
      <c r="W243" s="173"/>
      <c r="X243" s="10"/>
      <c r="Y243" s="173"/>
      <c r="Z243" s="173"/>
      <c r="AA243" s="173"/>
      <c r="AB243" s="173"/>
      <c r="AC243" s="10"/>
      <c r="AD243" s="173"/>
      <c r="AE243" s="173"/>
      <c r="AF243" s="173"/>
      <c r="AG243" s="173"/>
      <c r="AH243" s="10"/>
      <c r="AI243" s="173"/>
      <c r="AJ243" s="173"/>
      <c r="AK243" s="173"/>
      <c r="AL243" s="173"/>
      <c r="AM243" s="173"/>
      <c r="AN243" s="173"/>
      <c r="AO243" s="173"/>
      <c r="AP243" s="173"/>
    </row>
    <row r="244" spans="1:42" ht="12.75" customHeight="1">
      <c r="A244" s="1001">
        <v>5</v>
      </c>
      <c r="B244" s="715" t="s">
        <v>511</v>
      </c>
      <c r="C244" s="716">
        <v>470</v>
      </c>
      <c r="D244" s="717">
        <v>0.4</v>
      </c>
      <c r="E244" s="718">
        <v>-0.35</v>
      </c>
      <c r="F244" s="1002">
        <v>5</v>
      </c>
      <c r="G244" s="715" t="s">
        <v>1096</v>
      </c>
      <c r="H244" s="716">
        <v>508</v>
      </c>
      <c r="I244" s="717" t="s">
        <v>254</v>
      </c>
      <c r="J244" s="718" t="s">
        <v>254</v>
      </c>
      <c r="K244" s="1002">
        <v>5</v>
      </c>
      <c r="L244" s="715" t="s">
        <v>1097</v>
      </c>
      <c r="M244" s="716" t="s">
        <v>134</v>
      </c>
      <c r="N244" s="717" t="s">
        <v>254</v>
      </c>
      <c r="O244" s="718" t="s">
        <v>254</v>
      </c>
      <c r="P244" s="692"/>
      <c r="Q244" s="173"/>
      <c r="R244" s="173"/>
      <c r="S244" s="173"/>
      <c r="T244" s="173"/>
      <c r="U244" s="173"/>
      <c r="V244" s="173"/>
      <c r="W244" s="173"/>
      <c r="X244" s="10"/>
      <c r="Y244" s="173"/>
      <c r="Z244" s="173"/>
      <c r="AA244" s="173"/>
      <c r="AB244" s="173"/>
      <c r="AC244" s="10"/>
      <c r="AD244" s="173"/>
      <c r="AE244" s="173"/>
      <c r="AF244" s="173"/>
      <c r="AG244" s="173"/>
      <c r="AH244" s="10"/>
      <c r="AI244" s="173"/>
      <c r="AJ244" s="173"/>
      <c r="AK244" s="173"/>
      <c r="AL244" s="173"/>
      <c r="AM244" s="173"/>
      <c r="AN244" s="173"/>
      <c r="AO244" s="173"/>
      <c r="AP244" s="173"/>
    </row>
    <row r="245" spans="1:42" ht="12.75" customHeight="1">
      <c r="A245" s="1002"/>
      <c r="B245" s="700" t="s">
        <v>514</v>
      </c>
      <c r="C245" s="701">
        <v>471</v>
      </c>
      <c r="D245" s="702">
        <v>0.35</v>
      </c>
      <c r="E245" s="703">
        <v>-0.5</v>
      </c>
      <c r="F245" s="1002"/>
      <c r="G245" s="700" t="s">
        <v>1098</v>
      </c>
      <c r="H245" s="701">
        <v>512</v>
      </c>
      <c r="I245" s="702" t="s">
        <v>254</v>
      </c>
      <c r="J245" s="703" t="s">
        <v>254</v>
      </c>
      <c r="K245" s="1002"/>
      <c r="L245" s="700" t="s">
        <v>1099</v>
      </c>
      <c r="M245" s="701" t="s">
        <v>134</v>
      </c>
      <c r="N245" s="702" t="s">
        <v>254</v>
      </c>
      <c r="O245" s="703" t="s">
        <v>254</v>
      </c>
      <c r="P245" s="692"/>
      <c r="Q245" s="173"/>
      <c r="R245" s="173"/>
      <c r="S245" s="173"/>
      <c r="T245" s="173"/>
      <c r="U245" s="173"/>
      <c r="V245" s="173"/>
      <c r="W245" s="173"/>
      <c r="X245" s="10"/>
      <c r="Y245" s="173"/>
      <c r="Z245" s="173"/>
      <c r="AA245" s="173"/>
      <c r="AB245" s="173"/>
      <c r="AC245" s="10"/>
      <c r="AD245" s="173"/>
      <c r="AE245" s="173"/>
      <c r="AF245" s="173"/>
      <c r="AG245" s="173"/>
      <c r="AH245" s="10"/>
      <c r="AI245" s="173"/>
      <c r="AJ245" s="173"/>
      <c r="AK245" s="173"/>
      <c r="AL245" s="173"/>
      <c r="AM245" s="173"/>
      <c r="AN245" s="173"/>
      <c r="AO245" s="173"/>
      <c r="AP245" s="173"/>
    </row>
    <row r="246" spans="1:42" ht="12.75" customHeight="1" thickBot="1">
      <c r="A246" s="1003"/>
      <c r="B246" s="708" t="s">
        <v>517</v>
      </c>
      <c r="C246" s="709">
        <v>484</v>
      </c>
      <c r="D246" s="710">
        <v>-0.2</v>
      </c>
      <c r="E246" s="711">
        <v>0.2</v>
      </c>
      <c r="F246" s="1002"/>
      <c r="G246" s="708" t="s">
        <v>1100</v>
      </c>
      <c r="H246" s="709">
        <v>521</v>
      </c>
      <c r="I246" s="710" t="s">
        <v>254</v>
      </c>
      <c r="J246" s="711" t="s">
        <v>254</v>
      </c>
      <c r="K246" s="1002"/>
      <c r="L246" s="708" t="s">
        <v>1101</v>
      </c>
      <c r="M246" s="709" t="s">
        <v>134</v>
      </c>
      <c r="N246" s="710" t="s">
        <v>254</v>
      </c>
      <c r="O246" s="711" t="s">
        <v>254</v>
      </c>
      <c r="P246" s="692"/>
      <c r="Q246" s="173"/>
      <c r="R246" s="173"/>
      <c r="S246" s="173"/>
      <c r="T246" s="173"/>
      <c r="U246" s="173"/>
      <c r="V246" s="173"/>
      <c r="W246" s="173"/>
      <c r="X246" s="10"/>
      <c r="Y246" s="173"/>
      <c r="Z246" s="173"/>
      <c r="AA246" s="173"/>
      <c r="AB246" s="173"/>
      <c r="AC246" s="10"/>
      <c r="AD246" s="173"/>
      <c r="AE246" s="173"/>
      <c r="AF246" s="173"/>
      <c r="AG246" s="173"/>
      <c r="AH246" s="10"/>
      <c r="AI246" s="173"/>
      <c r="AJ246" s="173"/>
      <c r="AK246" s="173"/>
      <c r="AL246" s="173"/>
      <c r="AM246" s="173"/>
      <c r="AN246" s="173"/>
      <c r="AO246" s="173"/>
      <c r="AP246" s="173"/>
    </row>
    <row r="247" spans="1:42" ht="12.75" customHeight="1">
      <c r="A247" s="1001">
        <v>6</v>
      </c>
      <c r="B247" s="695" t="s">
        <v>520</v>
      </c>
      <c r="C247" s="696">
        <v>513</v>
      </c>
      <c r="D247" s="697" t="s">
        <v>254</v>
      </c>
      <c r="E247" s="698" t="s">
        <v>254</v>
      </c>
      <c r="F247" s="1001">
        <v>6</v>
      </c>
      <c r="G247" s="695" t="s">
        <v>1102</v>
      </c>
      <c r="H247" s="696">
        <v>237</v>
      </c>
      <c r="I247" s="697" t="s">
        <v>254</v>
      </c>
      <c r="J247" s="698" t="s">
        <v>254</v>
      </c>
      <c r="K247" s="1001">
        <v>6</v>
      </c>
      <c r="L247" s="695" t="s">
        <v>1103</v>
      </c>
      <c r="M247" s="696" t="s">
        <v>134</v>
      </c>
      <c r="N247" s="697" t="s">
        <v>254</v>
      </c>
      <c r="O247" s="698" t="s">
        <v>254</v>
      </c>
      <c r="P247" s="692"/>
      <c r="Q247" s="173"/>
      <c r="R247" s="173"/>
      <c r="S247" s="173"/>
      <c r="T247" s="173"/>
      <c r="U247" s="173"/>
      <c r="V247" s="173"/>
      <c r="W247" s="173"/>
      <c r="X247" s="10"/>
      <c r="Y247" s="173"/>
      <c r="Z247" s="173"/>
      <c r="AA247" s="173"/>
      <c r="AB247" s="173"/>
      <c r="AC247" s="10"/>
      <c r="AD247" s="173"/>
      <c r="AE247" s="173"/>
      <c r="AF247" s="173"/>
      <c r="AG247" s="173"/>
      <c r="AH247" s="10"/>
      <c r="AI247" s="173"/>
      <c r="AJ247" s="173"/>
      <c r="AK247" s="173"/>
      <c r="AL247" s="173"/>
      <c r="AM247" s="173"/>
      <c r="AN247" s="173"/>
      <c r="AO247" s="173"/>
      <c r="AP247" s="173"/>
    </row>
    <row r="248" spans="1:42" ht="12.75" customHeight="1">
      <c r="A248" s="1002"/>
      <c r="B248" s="700" t="s">
        <v>523</v>
      </c>
      <c r="C248" s="701">
        <v>523</v>
      </c>
      <c r="D248" s="702" t="s">
        <v>254</v>
      </c>
      <c r="E248" s="703" t="s">
        <v>254</v>
      </c>
      <c r="F248" s="1002"/>
      <c r="G248" s="700" t="s">
        <v>1104</v>
      </c>
      <c r="H248" s="701">
        <v>238</v>
      </c>
      <c r="I248" s="702" t="s">
        <v>254</v>
      </c>
      <c r="J248" s="703" t="s">
        <v>254</v>
      </c>
      <c r="K248" s="1002"/>
      <c r="L248" s="700" t="s">
        <v>1105</v>
      </c>
      <c r="M248" s="701">
        <v>417</v>
      </c>
      <c r="N248" s="702" t="s">
        <v>254</v>
      </c>
      <c r="O248" s="703" t="s">
        <v>254</v>
      </c>
      <c r="P248" s="692"/>
      <c r="Q248" s="173"/>
      <c r="R248" s="173"/>
      <c r="S248" s="173"/>
      <c r="T248" s="173"/>
      <c r="U248" s="173"/>
      <c r="V248" s="173"/>
      <c r="W248" s="173"/>
      <c r="X248" s="10"/>
      <c r="Y248" s="173"/>
      <c r="Z248" s="173"/>
      <c r="AA248" s="173"/>
      <c r="AB248" s="173"/>
      <c r="AC248" s="10"/>
      <c r="AD248" s="173"/>
      <c r="AE248" s="173"/>
      <c r="AF248" s="173"/>
      <c r="AG248" s="173"/>
      <c r="AH248" s="10"/>
      <c r="AI248" s="173"/>
      <c r="AJ248" s="173"/>
      <c r="AK248" s="173"/>
      <c r="AL248" s="173"/>
      <c r="AM248" s="173"/>
      <c r="AN248" s="173"/>
      <c r="AO248" s="173"/>
      <c r="AP248" s="173"/>
    </row>
    <row r="249" spans="1:42" ht="12.75" customHeight="1" thickBot="1">
      <c r="A249" s="1003"/>
      <c r="B249" s="704" t="s">
        <v>526</v>
      </c>
      <c r="C249" s="705">
        <v>541</v>
      </c>
      <c r="D249" s="706" t="s">
        <v>254</v>
      </c>
      <c r="E249" s="707" t="s">
        <v>254</v>
      </c>
      <c r="F249" s="1003"/>
      <c r="G249" s="704" t="s">
        <v>1106</v>
      </c>
      <c r="H249" s="705">
        <v>241</v>
      </c>
      <c r="I249" s="706" t="s">
        <v>254</v>
      </c>
      <c r="J249" s="707" t="s">
        <v>254</v>
      </c>
      <c r="K249" s="1003"/>
      <c r="L249" s="704" t="s">
        <v>1107</v>
      </c>
      <c r="M249" s="705" t="s">
        <v>134</v>
      </c>
      <c r="N249" s="706" t="s">
        <v>254</v>
      </c>
      <c r="O249" s="707" t="s">
        <v>254</v>
      </c>
      <c r="P249" s="692"/>
      <c r="Q249" s="173"/>
      <c r="R249" s="173"/>
      <c r="S249" s="173"/>
      <c r="T249" s="173"/>
      <c r="U249" s="173"/>
      <c r="V249" s="173"/>
      <c r="W249" s="173"/>
      <c r="X249" s="10"/>
      <c r="Y249" s="173"/>
      <c r="Z249" s="173"/>
      <c r="AA249" s="173"/>
      <c r="AB249" s="173"/>
      <c r="AC249" s="10"/>
      <c r="AD249" s="173"/>
      <c r="AE249" s="173"/>
      <c r="AF249" s="173"/>
      <c r="AG249" s="173"/>
      <c r="AH249" s="10"/>
      <c r="AI249" s="173"/>
      <c r="AJ249" s="173"/>
      <c r="AK249" s="173"/>
      <c r="AL249" s="173"/>
      <c r="AM249" s="173"/>
      <c r="AN249" s="173"/>
      <c r="AO249" s="173"/>
      <c r="AP249" s="173"/>
    </row>
    <row r="250" spans="1:42" ht="12.75" customHeight="1">
      <c r="A250" s="1001">
        <v>7</v>
      </c>
      <c r="B250" s="715" t="s">
        <v>529</v>
      </c>
      <c r="C250" s="716">
        <v>405</v>
      </c>
      <c r="D250" s="717">
        <v>0</v>
      </c>
      <c r="E250" s="718">
        <v>0.05</v>
      </c>
      <c r="F250" s="1002">
        <v>7</v>
      </c>
      <c r="G250" s="715" t="s">
        <v>1108</v>
      </c>
      <c r="H250" s="716">
        <v>424</v>
      </c>
      <c r="I250" s="717" t="s">
        <v>254</v>
      </c>
      <c r="J250" s="718" t="s">
        <v>254</v>
      </c>
      <c r="K250" s="1002">
        <v>7</v>
      </c>
      <c r="L250" s="715" t="s">
        <v>1109</v>
      </c>
      <c r="M250" s="716">
        <v>244</v>
      </c>
      <c r="N250" s="717" t="s">
        <v>254</v>
      </c>
      <c r="O250" s="718" t="s">
        <v>254</v>
      </c>
      <c r="P250" s="692"/>
      <c r="Q250" s="173"/>
      <c r="R250" s="173"/>
      <c r="S250" s="173"/>
      <c r="T250" s="173"/>
      <c r="U250" s="173"/>
      <c r="V250" s="173"/>
      <c r="W250" s="173"/>
      <c r="X250" s="10"/>
      <c r="Y250" s="173"/>
      <c r="Z250" s="173"/>
      <c r="AA250" s="173"/>
      <c r="AB250" s="173"/>
      <c r="AC250" s="10"/>
      <c r="AD250" s="173"/>
      <c r="AE250" s="173"/>
      <c r="AF250" s="173"/>
      <c r="AG250" s="173"/>
      <c r="AH250" s="10"/>
      <c r="AI250" s="173"/>
      <c r="AJ250" s="173"/>
      <c r="AK250" s="173"/>
      <c r="AL250" s="173"/>
      <c r="AM250" s="173"/>
      <c r="AN250" s="173"/>
      <c r="AO250" s="173"/>
      <c r="AP250" s="173"/>
    </row>
    <row r="251" spans="1:42" ht="12.75" customHeight="1">
      <c r="A251" s="1002"/>
      <c r="B251" s="700" t="s">
        <v>532</v>
      </c>
      <c r="C251" s="701">
        <v>415</v>
      </c>
      <c r="D251" s="702">
        <v>0.1</v>
      </c>
      <c r="E251" s="703">
        <v>-0.1</v>
      </c>
      <c r="F251" s="1002"/>
      <c r="G251" s="700" t="s">
        <v>1110</v>
      </c>
      <c r="H251" s="701">
        <v>434</v>
      </c>
      <c r="I251" s="702">
        <v>0</v>
      </c>
      <c r="J251" s="703">
        <v>0.15</v>
      </c>
      <c r="K251" s="1002"/>
      <c r="L251" s="700" t="s">
        <v>1111</v>
      </c>
      <c r="M251" s="701">
        <v>256</v>
      </c>
      <c r="N251" s="702" t="s">
        <v>254</v>
      </c>
      <c r="O251" s="703" t="s">
        <v>254</v>
      </c>
      <c r="P251" s="692"/>
      <c r="Q251" s="173"/>
      <c r="R251" s="173"/>
      <c r="S251" s="173"/>
      <c r="T251" s="173"/>
      <c r="U251" s="173"/>
      <c r="V251" s="173"/>
      <c r="W251" s="173"/>
      <c r="X251" s="10"/>
      <c r="Y251" s="173"/>
      <c r="Z251" s="173"/>
      <c r="AA251" s="173"/>
      <c r="AB251" s="173"/>
      <c r="AC251" s="10"/>
      <c r="AD251" s="173"/>
      <c r="AE251" s="173"/>
      <c r="AF251" s="173"/>
      <c r="AG251" s="173"/>
      <c r="AH251" s="10"/>
      <c r="AI251" s="173"/>
      <c r="AJ251" s="173"/>
      <c r="AK251" s="173"/>
      <c r="AL251" s="173"/>
      <c r="AM251" s="173"/>
      <c r="AN251" s="173"/>
      <c r="AO251" s="173"/>
      <c r="AP251" s="173"/>
    </row>
    <row r="252" spans="1:42" ht="12.75" customHeight="1" thickBot="1">
      <c r="A252" s="1003"/>
      <c r="B252" s="708" t="s">
        <v>535</v>
      </c>
      <c r="C252" s="709">
        <v>424</v>
      </c>
      <c r="D252" s="710">
        <v>0</v>
      </c>
      <c r="E252" s="711">
        <v>0</v>
      </c>
      <c r="F252" s="1002"/>
      <c r="G252" s="708" t="s">
        <v>1112</v>
      </c>
      <c r="H252" s="709">
        <v>440</v>
      </c>
      <c r="I252" s="710">
        <v>-0.2</v>
      </c>
      <c r="J252" s="711">
        <v>0.2</v>
      </c>
      <c r="K252" s="1002"/>
      <c r="L252" s="708" t="s">
        <v>1113</v>
      </c>
      <c r="M252" s="709">
        <v>258</v>
      </c>
      <c r="N252" s="710" t="s">
        <v>254</v>
      </c>
      <c r="O252" s="711" t="s">
        <v>254</v>
      </c>
      <c r="P252" s="692"/>
      <c r="Q252" s="173"/>
      <c r="R252" s="173"/>
      <c r="S252" s="173"/>
      <c r="T252" s="173"/>
      <c r="U252" s="173"/>
      <c r="V252" s="173"/>
      <c r="W252" s="173"/>
      <c r="X252" s="10"/>
      <c r="Y252" s="173"/>
      <c r="Z252" s="173"/>
      <c r="AA252" s="173"/>
      <c r="AB252" s="173"/>
      <c r="AC252" s="10"/>
      <c r="AD252" s="173"/>
      <c r="AE252" s="173"/>
      <c r="AF252" s="173"/>
      <c r="AG252" s="173"/>
      <c r="AH252" s="10"/>
      <c r="AI252" s="173"/>
      <c r="AJ252" s="173"/>
      <c r="AK252" s="173"/>
      <c r="AL252" s="173"/>
      <c r="AM252" s="173"/>
      <c r="AN252" s="173"/>
      <c r="AO252" s="173"/>
      <c r="AP252" s="173"/>
    </row>
    <row r="253" spans="1:42" ht="12.75" customHeight="1">
      <c r="A253" s="1001">
        <v>8</v>
      </c>
      <c r="B253" s="695" t="s">
        <v>538</v>
      </c>
      <c r="C253" s="696">
        <v>396</v>
      </c>
      <c r="D253" s="697">
        <v>0.2</v>
      </c>
      <c r="E253" s="698">
        <v>0</v>
      </c>
      <c r="F253" s="1001">
        <v>8</v>
      </c>
      <c r="G253" s="695" t="s">
        <v>1114</v>
      </c>
      <c r="H253" s="696">
        <v>327</v>
      </c>
      <c r="I253" s="697" t="s">
        <v>254</v>
      </c>
      <c r="J253" s="698" t="s">
        <v>254</v>
      </c>
      <c r="K253" s="1001">
        <v>8</v>
      </c>
      <c r="L253" s="695" t="s">
        <v>1115</v>
      </c>
      <c r="M253" s="696" t="s">
        <v>134</v>
      </c>
      <c r="N253" s="697" t="s">
        <v>254</v>
      </c>
      <c r="O253" s="698" t="s">
        <v>254</v>
      </c>
      <c r="P253" s="692"/>
      <c r="Q253" s="173"/>
      <c r="R253" s="173"/>
      <c r="S253" s="173"/>
      <c r="T253" s="173"/>
      <c r="U253" s="173"/>
      <c r="V253" s="173"/>
      <c r="W253" s="173"/>
      <c r="X253" s="10"/>
      <c r="Y253" s="173"/>
      <c r="Z253" s="173"/>
      <c r="AA253" s="173"/>
      <c r="AB253" s="173"/>
      <c r="AC253" s="10"/>
      <c r="AD253" s="173"/>
      <c r="AE253" s="173"/>
      <c r="AF253" s="173"/>
      <c r="AG253" s="173"/>
      <c r="AH253" s="10"/>
      <c r="AI253" s="173"/>
      <c r="AJ253" s="173"/>
      <c r="AK253" s="173"/>
      <c r="AL253" s="173"/>
      <c r="AM253" s="173"/>
      <c r="AN253" s="173"/>
      <c r="AO253" s="173"/>
      <c r="AP253" s="173"/>
    </row>
    <row r="254" spans="1:42" ht="12.75" customHeight="1">
      <c r="A254" s="1002"/>
      <c r="B254" s="700" t="s">
        <v>541</v>
      </c>
      <c r="C254" s="701">
        <v>407</v>
      </c>
      <c r="D254" s="702">
        <v>0.1</v>
      </c>
      <c r="E254" s="703">
        <v>-0.1</v>
      </c>
      <c r="F254" s="1002"/>
      <c r="G254" s="700" t="s">
        <v>1116</v>
      </c>
      <c r="H254" s="701">
        <v>335</v>
      </c>
      <c r="I254" s="702" t="s">
        <v>254</v>
      </c>
      <c r="J254" s="703">
        <v>0</v>
      </c>
      <c r="K254" s="1002"/>
      <c r="L254" s="700" t="s">
        <v>1117</v>
      </c>
      <c r="M254" s="701" t="s">
        <v>134</v>
      </c>
      <c r="N254" s="702" t="s">
        <v>254</v>
      </c>
      <c r="O254" s="703" t="s">
        <v>254</v>
      </c>
      <c r="P254" s="692"/>
      <c r="Q254" s="173"/>
      <c r="R254" s="173"/>
      <c r="S254" s="173"/>
      <c r="T254" s="173"/>
      <c r="U254" s="173"/>
      <c r="V254" s="173"/>
      <c r="W254" s="173"/>
      <c r="X254" s="173"/>
      <c r="Y254" s="173"/>
      <c r="Z254" s="173"/>
      <c r="AA254" s="173"/>
      <c r="AB254" s="173"/>
      <c r="AC254" s="173"/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</row>
    <row r="255" spans="1:42" ht="12.75" customHeight="1" thickBot="1">
      <c r="A255" s="1003"/>
      <c r="B255" s="704" t="s">
        <v>544</v>
      </c>
      <c r="C255" s="705">
        <v>414</v>
      </c>
      <c r="D255" s="706">
        <v>0.2</v>
      </c>
      <c r="E255" s="707">
        <v>-0.2</v>
      </c>
      <c r="F255" s="1003"/>
      <c r="G255" s="704" t="s">
        <v>1118</v>
      </c>
      <c r="H255" s="705">
        <v>340</v>
      </c>
      <c r="I255" s="706" t="s">
        <v>254</v>
      </c>
      <c r="J255" s="707" t="s">
        <v>254</v>
      </c>
      <c r="K255" s="1003"/>
      <c r="L255" s="704" t="s">
        <v>1119</v>
      </c>
      <c r="M255" s="705" t="s">
        <v>134</v>
      </c>
      <c r="N255" s="706" t="s">
        <v>254</v>
      </c>
      <c r="O255" s="707" t="s">
        <v>254</v>
      </c>
      <c r="P255" s="692"/>
      <c r="Q255" s="173"/>
      <c r="R255" s="173"/>
      <c r="S255" s="173"/>
      <c r="T255" s="173"/>
      <c r="U255" s="173"/>
      <c r="V255" s="173"/>
      <c r="W255" s="173"/>
      <c r="X255" s="173"/>
      <c r="Y255" s="173"/>
      <c r="Z255" s="173"/>
      <c r="AA255" s="173"/>
      <c r="AB255" s="173"/>
      <c r="AC255" s="173"/>
      <c r="AD255" s="173"/>
      <c r="AE255" s="173"/>
      <c r="AF255" s="173"/>
      <c r="AG255" s="173"/>
      <c r="AH255" s="173"/>
      <c r="AI255" s="173"/>
      <c r="AJ255" s="173"/>
      <c r="AK255" s="173"/>
      <c r="AL255" s="173"/>
      <c r="AM255" s="173"/>
      <c r="AN255" s="173"/>
      <c r="AO255" s="173"/>
      <c r="AP255" s="173"/>
    </row>
    <row r="256" spans="1:42" ht="12.75" customHeight="1">
      <c r="A256" s="1001">
        <v>9</v>
      </c>
      <c r="B256" s="715" t="s">
        <v>547</v>
      </c>
      <c r="C256" s="716">
        <v>216</v>
      </c>
      <c r="D256" s="717">
        <v>0.1</v>
      </c>
      <c r="E256" s="718" t="s">
        <v>254</v>
      </c>
      <c r="F256" s="1002">
        <v>9</v>
      </c>
      <c r="G256" s="715" t="s">
        <v>1120</v>
      </c>
      <c r="H256" s="716">
        <v>548</v>
      </c>
      <c r="I256" s="717" t="s">
        <v>254</v>
      </c>
      <c r="J256" s="718" t="s">
        <v>254</v>
      </c>
      <c r="K256" s="1002">
        <v>9</v>
      </c>
      <c r="L256" s="715" t="s">
        <v>1121</v>
      </c>
      <c r="M256" s="716" t="s">
        <v>134</v>
      </c>
      <c r="N256" s="717" t="s">
        <v>254</v>
      </c>
      <c r="O256" s="718" t="s">
        <v>254</v>
      </c>
      <c r="P256" s="692"/>
      <c r="Q256" s="173"/>
      <c r="R256" s="173"/>
      <c r="S256" s="173"/>
      <c r="T256" s="173"/>
      <c r="U256" s="173"/>
      <c r="V256" s="173"/>
      <c r="W256" s="173"/>
      <c r="X256" s="173"/>
      <c r="Y256" s="173"/>
      <c r="Z256" s="173"/>
      <c r="AA256" s="173"/>
      <c r="AB256" s="173"/>
      <c r="AC256" s="173"/>
      <c r="AD256" s="173"/>
      <c r="AE256" s="173"/>
      <c r="AF256" s="173"/>
      <c r="AG256" s="173"/>
      <c r="AH256" s="173"/>
      <c r="AI256" s="173"/>
      <c r="AJ256" s="173"/>
      <c r="AK256" s="173"/>
      <c r="AL256" s="173"/>
      <c r="AM256" s="173"/>
      <c r="AN256" s="173"/>
      <c r="AO256" s="173"/>
      <c r="AP256" s="173"/>
    </row>
    <row r="257" spans="1:42" ht="12.75" customHeight="1">
      <c r="A257" s="1002"/>
      <c r="B257" s="700" t="s">
        <v>550</v>
      </c>
      <c r="C257" s="701">
        <v>225</v>
      </c>
      <c r="D257" s="702">
        <v>-0.1</v>
      </c>
      <c r="E257" s="703">
        <v>0.15</v>
      </c>
      <c r="F257" s="1002"/>
      <c r="G257" s="700" t="s">
        <v>1122</v>
      </c>
      <c r="H257" s="701">
        <v>551</v>
      </c>
      <c r="I257" s="702" t="s">
        <v>254</v>
      </c>
      <c r="J257" s="703" t="s">
        <v>254</v>
      </c>
      <c r="K257" s="1002"/>
      <c r="L257" s="700" t="s">
        <v>1123</v>
      </c>
      <c r="M257" s="701" t="s">
        <v>134</v>
      </c>
      <c r="N257" s="702" t="s">
        <v>254</v>
      </c>
      <c r="O257" s="703" t="s">
        <v>254</v>
      </c>
      <c r="P257" s="692"/>
      <c r="Q257" s="173"/>
      <c r="R257" s="173"/>
      <c r="S257" s="173"/>
      <c r="T257" s="173"/>
      <c r="U257" s="173"/>
      <c r="V257" s="173"/>
      <c r="W257" s="173"/>
      <c r="X257" s="173"/>
      <c r="Y257" s="173"/>
      <c r="Z257" s="173"/>
      <c r="AA257" s="173"/>
      <c r="AB257" s="173"/>
      <c r="AC257" s="173"/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</row>
    <row r="258" spans="1:42" ht="12.75" customHeight="1" thickBot="1">
      <c r="A258" s="1003"/>
      <c r="B258" s="708" t="s">
        <v>553</v>
      </c>
      <c r="C258" s="709">
        <v>239</v>
      </c>
      <c r="D258" s="710" t="s">
        <v>254</v>
      </c>
      <c r="E258" s="711" t="s">
        <v>254</v>
      </c>
      <c r="F258" s="1002"/>
      <c r="G258" s="708" t="s">
        <v>1124</v>
      </c>
      <c r="H258" s="709">
        <v>553</v>
      </c>
      <c r="I258" s="710" t="s">
        <v>254</v>
      </c>
      <c r="J258" s="711" t="s">
        <v>254</v>
      </c>
      <c r="K258" s="1002"/>
      <c r="L258" s="708" t="s">
        <v>1125</v>
      </c>
      <c r="M258" s="709" t="s">
        <v>134</v>
      </c>
      <c r="N258" s="710" t="s">
        <v>254</v>
      </c>
      <c r="O258" s="711" t="s">
        <v>254</v>
      </c>
      <c r="P258" s="692"/>
      <c r="Q258" s="173"/>
      <c r="R258" s="173"/>
      <c r="S258" s="173"/>
      <c r="T258" s="173"/>
      <c r="U258" s="173"/>
      <c r="V258" s="173"/>
      <c r="W258" s="173"/>
      <c r="X258" s="173"/>
      <c r="Y258" s="173"/>
      <c r="Z258" s="173"/>
      <c r="AA258" s="173"/>
      <c r="AB258" s="173"/>
      <c r="AC258" s="173"/>
      <c r="AD258" s="173"/>
      <c r="AE258" s="173"/>
      <c r="AF258" s="173"/>
      <c r="AG258" s="173"/>
      <c r="AH258" s="173"/>
      <c r="AI258" s="173"/>
      <c r="AJ258" s="173"/>
      <c r="AK258" s="173"/>
      <c r="AL258" s="173"/>
      <c r="AM258" s="173"/>
      <c r="AN258" s="173"/>
      <c r="AO258" s="173"/>
      <c r="AP258" s="173"/>
    </row>
    <row r="259" spans="1:42" ht="12.75" customHeight="1">
      <c r="A259" s="1001">
        <v>10</v>
      </c>
      <c r="B259" s="695" t="s">
        <v>556</v>
      </c>
      <c r="C259" s="696">
        <v>243</v>
      </c>
      <c r="D259" s="697">
        <v>0.8</v>
      </c>
      <c r="E259" s="698">
        <v>-0.8</v>
      </c>
      <c r="F259" s="1001">
        <v>10</v>
      </c>
      <c r="G259" s="695" t="s">
        <v>1126</v>
      </c>
      <c r="H259" s="696">
        <v>456</v>
      </c>
      <c r="I259" s="697">
        <v>0.3</v>
      </c>
      <c r="J259" s="698" t="s">
        <v>254</v>
      </c>
      <c r="K259" s="1001">
        <v>10</v>
      </c>
      <c r="L259" s="695" t="s">
        <v>1127</v>
      </c>
      <c r="M259" s="696" t="s">
        <v>134</v>
      </c>
      <c r="N259" s="697" t="s">
        <v>254</v>
      </c>
      <c r="O259" s="698" t="s">
        <v>254</v>
      </c>
      <c r="P259" s="692"/>
      <c r="Q259" s="173"/>
      <c r="R259" s="173"/>
      <c r="S259" s="173"/>
      <c r="T259" s="173"/>
      <c r="U259" s="173"/>
      <c r="V259" s="173"/>
      <c r="W259" s="173"/>
      <c r="X259" s="173"/>
      <c r="Y259" s="173"/>
      <c r="Z259" s="173"/>
      <c r="AA259" s="173"/>
      <c r="AB259" s="173"/>
      <c r="AC259" s="173"/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</row>
    <row r="260" spans="1:42" ht="12.75" customHeight="1">
      <c r="A260" s="1002"/>
      <c r="B260" s="700" t="s">
        <v>559</v>
      </c>
      <c r="C260" s="701">
        <v>259</v>
      </c>
      <c r="D260" s="702">
        <v>0</v>
      </c>
      <c r="E260" s="703">
        <v>-0.4</v>
      </c>
      <c r="F260" s="1002"/>
      <c r="G260" s="700" t="s">
        <v>1128</v>
      </c>
      <c r="H260" s="701">
        <v>465</v>
      </c>
      <c r="I260" s="702" t="s">
        <v>254</v>
      </c>
      <c r="J260" s="703">
        <v>-0.45</v>
      </c>
      <c r="K260" s="1002"/>
      <c r="L260" s="700" t="s">
        <v>1129</v>
      </c>
      <c r="M260" s="701" t="s">
        <v>134</v>
      </c>
      <c r="N260" s="702" t="s">
        <v>254</v>
      </c>
      <c r="O260" s="703" t="s">
        <v>254</v>
      </c>
      <c r="P260" s="692"/>
      <c r="Q260" s="173"/>
      <c r="R260" s="173"/>
      <c r="S260" s="173"/>
      <c r="T260" s="173"/>
      <c r="U260" s="173"/>
      <c r="V260" s="173"/>
      <c r="W260" s="173"/>
      <c r="X260" s="173"/>
      <c r="Y260" s="173"/>
      <c r="Z260" s="173"/>
      <c r="AA260" s="173"/>
      <c r="AB260" s="173"/>
      <c r="AC260" s="173"/>
      <c r="AD260" s="173"/>
      <c r="AE260" s="173"/>
      <c r="AF260" s="173"/>
      <c r="AG260" s="173"/>
      <c r="AH260" s="173"/>
      <c r="AI260" s="173"/>
      <c r="AJ260" s="173"/>
      <c r="AK260" s="173"/>
      <c r="AL260" s="173"/>
      <c r="AM260" s="173"/>
      <c r="AN260" s="173"/>
      <c r="AO260" s="173"/>
      <c r="AP260" s="173"/>
    </row>
    <row r="261" spans="1:42" ht="12.75" customHeight="1" thickBot="1">
      <c r="A261" s="1003"/>
      <c r="B261" s="704" t="s">
        <v>562</v>
      </c>
      <c r="C261" s="705">
        <v>266</v>
      </c>
      <c r="D261" s="706">
        <v>-0.2</v>
      </c>
      <c r="E261" s="707">
        <v>0.3</v>
      </c>
      <c r="F261" s="1003"/>
      <c r="G261" s="704" t="s">
        <v>1130</v>
      </c>
      <c r="H261" s="705">
        <v>472</v>
      </c>
      <c r="I261" s="706">
        <v>0.3</v>
      </c>
      <c r="J261" s="707" t="s">
        <v>254</v>
      </c>
      <c r="K261" s="1003"/>
      <c r="L261" s="704" t="s">
        <v>1131</v>
      </c>
      <c r="M261" s="705" t="s">
        <v>134</v>
      </c>
      <c r="N261" s="706" t="s">
        <v>254</v>
      </c>
      <c r="O261" s="707" t="s">
        <v>254</v>
      </c>
      <c r="P261" s="692"/>
      <c r="Q261" s="173"/>
      <c r="R261" s="173"/>
      <c r="S261" s="173"/>
      <c r="T261" s="173"/>
      <c r="U261" s="173"/>
      <c r="V261" s="173"/>
      <c r="W261" s="173"/>
      <c r="X261" s="173"/>
      <c r="Y261" s="173"/>
      <c r="Z261" s="173"/>
      <c r="AA261" s="173"/>
      <c r="AB261" s="173"/>
      <c r="AC261" s="173"/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</row>
    <row r="262" spans="1:42" ht="12.75" customHeight="1">
      <c r="A262" s="1001">
        <v>11</v>
      </c>
      <c r="B262" s="715" t="s">
        <v>565</v>
      </c>
      <c r="C262" s="716">
        <v>446</v>
      </c>
      <c r="D262" s="717" t="s">
        <v>254</v>
      </c>
      <c r="E262" s="718" t="s">
        <v>254</v>
      </c>
      <c r="F262" s="1002">
        <v>11</v>
      </c>
      <c r="G262" s="715" t="s">
        <v>1132</v>
      </c>
      <c r="H262" s="716">
        <v>447</v>
      </c>
      <c r="I262" s="717">
        <v>-0.5</v>
      </c>
      <c r="J262" s="718">
        <v>0.5</v>
      </c>
      <c r="K262" s="1002">
        <v>11</v>
      </c>
      <c r="L262" s="715" t="s">
        <v>1133</v>
      </c>
      <c r="M262" s="716" t="s">
        <v>134</v>
      </c>
      <c r="N262" s="717" t="s">
        <v>254</v>
      </c>
      <c r="O262" s="718" t="s">
        <v>254</v>
      </c>
      <c r="P262" s="692"/>
      <c r="Q262" s="173"/>
      <c r="R262" s="173"/>
      <c r="S262" s="173"/>
      <c r="T262" s="173"/>
      <c r="U262" s="173"/>
      <c r="V262" s="173"/>
      <c r="W262" s="173"/>
      <c r="X262" s="173"/>
      <c r="Y262" s="173"/>
      <c r="Z262" s="173"/>
      <c r="AA262" s="173"/>
      <c r="AB262" s="173"/>
      <c r="AC262" s="173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</row>
    <row r="263" spans="1:42" ht="12.75" customHeight="1">
      <c r="A263" s="1002"/>
      <c r="B263" s="700" t="s">
        <v>568</v>
      </c>
      <c r="C263" s="701">
        <v>464</v>
      </c>
      <c r="D263" s="702">
        <v>-0.1</v>
      </c>
      <c r="E263" s="703">
        <v>0.1</v>
      </c>
      <c r="F263" s="1002"/>
      <c r="G263" s="700" t="s">
        <v>1134</v>
      </c>
      <c r="H263" s="701">
        <v>449</v>
      </c>
      <c r="I263" s="702">
        <v>-0.3</v>
      </c>
      <c r="J263" s="703">
        <v>0.35</v>
      </c>
      <c r="K263" s="1002"/>
      <c r="L263" s="700" t="s">
        <v>1135</v>
      </c>
      <c r="M263" s="701" t="s">
        <v>134</v>
      </c>
      <c r="N263" s="702" t="s">
        <v>254</v>
      </c>
      <c r="O263" s="703" t="s">
        <v>254</v>
      </c>
      <c r="P263" s="692"/>
      <c r="Q263" s="173"/>
      <c r="R263" s="173"/>
      <c r="S263" s="173"/>
      <c r="T263" s="173"/>
      <c r="U263" s="173"/>
      <c r="V263" s="173"/>
      <c r="W263" s="173"/>
      <c r="X263" s="173"/>
      <c r="Y263" s="173"/>
      <c r="Z263" s="173"/>
      <c r="AA263" s="173"/>
      <c r="AB263" s="173"/>
      <c r="AC263" s="173"/>
      <c r="AD263" s="173"/>
      <c r="AE263" s="173"/>
      <c r="AF263" s="173"/>
      <c r="AG263" s="173"/>
      <c r="AH263" s="173"/>
      <c r="AI263" s="173"/>
      <c r="AJ263" s="173"/>
      <c r="AK263" s="173"/>
      <c r="AL263" s="173"/>
      <c r="AM263" s="173"/>
      <c r="AN263" s="173"/>
      <c r="AO263" s="173"/>
      <c r="AP263" s="173"/>
    </row>
    <row r="264" spans="1:42" ht="12.75" customHeight="1" thickBot="1">
      <c r="A264" s="1003"/>
      <c r="B264" s="708" t="s">
        <v>571</v>
      </c>
      <c r="C264" s="709">
        <v>468</v>
      </c>
      <c r="D264" s="710">
        <v>-0.2</v>
      </c>
      <c r="E264" s="711">
        <v>0.2</v>
      </c>
      <c r="F264" s="1002"/>
      <c r="G264" s="708" t="s">
        <v>1136</v>
      </c>
      <c r="H264" s="709">
        <v>456</v>
      </c>
      <c r="I264" s="710">
        <v>-0.55000000000000004</v>
      </c>
      <c r="J264" s="711">
        <v>0.6</v>
      </c>
      <c r="K264" s="1002"/>
      <c r="L264" s="708" t="s">
        <v>1137</v>
      </c>
      <c r="M264" s="709" t="s">
        <v>134</v>
      </c>
      <c r="N264" s="710" t="s">
        <v>254</v>
      </c>
      <c r="O264" s="711" t="s">
        <v>254</v>
      </c>
      <c r="P264" s="692"/>
      <c r="Q264" s="173"/>
      <c r="R264" s="173"/>
      <c r="S264" s="173"/>
      <c r="T264" s="173"/>
      <c r="U264" s="173"/>
      <c r="V264" s="173"/>
      <c r="W264" s="173"/>
      <c r="X264" s="173"/>
      <c r="Y264" s="173"/>
      <c r="Z264" s="173"/>
      <c r="AA264" s="173"/>
      <c r="AB264" s="173"/>
      <c r="AC264" s="173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</row>
    <row r="265" spans="1:42" ht="12.75" customHeight="1">
      <c r="A265" s="1001">
        <v>12</v>
      </c>
      <c r="B265" s="695" t="s">
        <v>574</v>
      </c>
      <c r="C265" s="696">
        <v>379</v>
      </c>
      <c r="D265" s="697">
        <v>-0.6</v>
      </c>
      <c r="E265" s="698">
        <v>0.4</v>
      </c>
      <c r="F265" s="1001">
        <v>12</v>
      </c>
      <c r="G265" s="695" t="s">
        <v>1138</v>
      </c>
      <c r="H265" s="696">
        <v>273</v>
      </c>
      <c r="I265" s="697" t="s">
        <v>254</v>
      </c>
      <c r="J265" s="698" t="s">
        <v>254</v>
      </c>
      <c r="K265" s="1001">
        <v>12</v>
      </c>
      <c r="L265" s="695" t="s">
        <v>1139</v>
      </c>
      <c r="M265" s="696" t="s">
        <v>134</v>
      </c>
      <c r="N265" s="697" t="s">
        <v>254</v>
      </c>
      <c r="O265" s="698" t="s">
        <v>254</v>
      </c>
      <c r="P265" s="692"/>
      <c r="Q265" s="173"/>
      <c r="R265" s="173"/>
      <c r="S265" s="173"/>
      <c r="T265" s="173"/>
      <c r="U265" s="173"/>
      <c r="V265" s="173"/>
      <c r="W265" s="173"/>
      <c r="X265" s="173"/>
      <c r="Y265" s="173"/>
      <c r="Z265" s="173"/>
      <c r="AA265" s="173"/>
      <c r="AB265" s="173"/>
      <c r="AC265" s="173"/>
      <c r="AD265" s="173"/>
      <c r="AE265" s="173"/>
      <c r="AF265" s="173"/>
      <c r="AG265" s="173"/>
      <c r="AH265" s="173"/>
      <c r="AI265" s="173"/>
      <c r="AJ265" s="173"/>
      <c r="AK265" s="173"/>
      <c r="AL265" s="173"/>
      <c r="AM265" s="173"/>
      <c r="AN265" s="173"/>
      <c r="AO265" s="173"/>
      <c r="AP265" s="173"/>
    </row>
    <row r="266" spans="1:42" ht="12.75" customHeight="1">
      <c r="A266" s="1002"/>
      <c r="B266" s="700" t="s">
        <v>577</v>
      </c>
      <c r="C266" s="701">
        <v>394</v>
      </c>
      <c r="D266" s="702">
        <v>-0.5</v>
      </c>
      <c r="E266" s="703">
        <v>0.5</v>
      </c>
      <c r="F266" s="1002"/>
      <c r="G266" s="700" t="s">
        <v>1140</v>
      </c>
      <c r="H266" s="701">
        <v>280</v>
      </c>
      <c r="I266" s="702" t="s">
        <v>254</v>
      </c>
      <c r="J266" s="703" t="s">
        <v>254</v>
      </c>
      <c r="K266" s="1002"/>
      <c r="L266" s="700" t="s">
        <v>1141</v>
      </c>
      <c r="M266" s="701" t="s">
        <v>134</v>
      </c>
      <c r="N266" s="702" t="s">
        <v>254</v>
      </c>
      <c r="O266" s="703" t="s">
        <v>254</v>
      </c>
      <c r="P266" s="692"/>
      <c r="Q266" s="173"/>
      <c r="R266" s="173"/>
      <c r="S266" s="173"/>
      <c r="T266" s="173"/>
      <c r="U266" s="173"/>
      <c r="V266" s="173"/>
      <c r="W266" s="173"/>
      <c r="X266" s="173"/>
      <c r="Y266" s="173"/>
      <c r="Z266" s="173"/>
      <c r="AA266" s="173"/>
      <c r="AB266" s="173"/>
      <c r="AC266" s="173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</row>
    <row r="267" spans="1:42" ht="12.75" customHeight="1" thickBot="1">
      <c r="A267" s="1003"/>
      <c r="B267" s="704" t="s">
        <v>580</v>
      </c>
      <c r="C267" s="705">
        <v>399</v>
      </c>
      <c r="D267" s="706">
        <v>-0.65</v>
      </c>
      <c r="E267" s="707">
        <v>0.65</v>
      </c>
      <c r="F267" s="1003"/>
      <c r="G267" s="704" t="s">
        <v>1142</v>
      </c>
      <c r="H267" s="705">
        <v>289</v>
      </c>
      <c r="I267" s="706">
        <v>-0.9</v>
      </c>
      <c r="J267" s="707" t="s">
        <v>254</v>
      </c>
      <c r="K267" s="1003"/>
      <c r="L267" s="704" t="s">
        <v>1143</v>
      </c>
      <c r="M267" s="705" t="s">
        <v>134</v>
      </c>
      <c r="N267" s="706" t="s">
        <v>254</v>
      </c>
      <c r="O267" s="707" t="s">
        <v>254</v>
      </c>
      <c r="P267" s="692"/>
      <c r="Q267" s="173"/>
      <c r="R267" s="173"/>
      <c r="S267" s="173"/>
      <c r="T267" s="173"/>
      <c r="U267" s="173"/>
      <c r="V267" s="173"/>
      <c r="W267" s="173"/>
      <c r="X267" s="173"/>
      <c r="Y267" s="173"/>
      <c r="Z267" s="173"/>
      <c r="AA267" s="173"/>
      <c r="AB267" s="173"/>
      <c r="AC267" s="173"/>
      <c r="AD267" s="173"/>
      <c r="AE267" s="173"/>
      <c r="AF267" s="173"/>
      <c r="AG267" s="173"/>
      <c r="AH267" s="173"/>
      <c r="AI267" s="173"/>
      <c r="AJ267" s="173"/>
      <c r="AK267" s="173"/>
      <c r="AL267" s="173"/>
      <c r="AM267" s="173"/>
      <c r="AN267" s="173"/>
      <c r="AO267" s="173"/>
      <c r="AP267" s="173"/>
    </row>
    <row r="268" spans="1:42" ht="12.75" customHeight="1">
      <c r="A268" s="1001">
        <v>13</v>
      </c>
      <c r="B268" s="715" t="s">
        <v>583</v>
      </c>
      <c r="C268" s="716">
        <v>213</v>
      </c>
      <c r="D268" s="717">
        <v>-0.2</v>
      </c>
      <c r="E268" s="718">
        <v>0.35</v>
      </c>
      <c r="F268" s="1002">
        <v>13</v>
      </c>
      <c r="G268" s="715" t="s">
        <v>1144</v>
      </c>
      <c r="H268" s="716">
        <v>456</v>
      </c>
      <c r="I268" s="717" t="s">
        <v>254</v>
      </c>
      <c r="J268" s="718" t="s">
        <v>254</v>
      </c>
      <c r="K268" s="1002">
        <v>13</v>
      </c>
      <c r="L268" s="715" t="s">
        <v>1145</v>
      </c>
      <c r="M268" s="716">
        <v>240</v>
      </c>
      <c r="N268" s="717" t="s">
        <v>254</v>
      </c>
      <c r="O268" s="718" t="s">
        <v>254</v>
      </c>
      <c r="P268" s="692"/>
      <c r="Q268" s="173"/>
      <c r="R268" s="173"/>
      <c r="S268" s="173"/>
      <c r="T268" s="173"/>
      <c r="U268" s="173"/>
      <c r="V268" s="173"/>
      <c r="W268" s="173"/>
      <c r="X268" s="173"/>
      <c r="Y268" s="173"/>
      <c r="Z268" s="173"/>
      <c r="AA268" s="173"/>
      <c r="AB268" s="173"/>
      <c r="AC268" s="173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</row>
    <row r="269" spans="1:42" ht="12.75" customHeight="1">
      <c r="A269" s="1002"/>
      <c r="B269" s="700" t="s">
        <v>586</v>
      </c>
      <c r="C269" s="701">
        <v>220</v>
      </c>
      <c r="D269" s="702">
        <v>-0.25</v>
      </c>
      <c r="E269" s="703">
        <v>-0.5</v>
      </c>
      <c r="F269" s="1002"/>
      <c r="G269" s="700" t="s">
        <v>1146</v>
      </c>
      <c r="H269" s="701">
        <v>465</v>
      </c>
      <c r="I269" s="702">
        <v>0.7</v>
      </c>
      <c r="J269" s="703">
        <v>-0.7</v>
      </c>
      <c r="K269" s="1002"/>
      <c r="L269" s="700" t="s">
        <v>1147</v>
      </c>
      <c r="M269" s="701">
        <v>241</v>
      </c>
      <c r="N269" s="702" t="s">
        <v>254</v>
      </c>
      <c r="O269" s="703" t="s">
        <v>254</v>
      </c>
      <c r="P269" s="692"/>
      <c r="Q269" s="173"/>
      <c r="R269" s="173"/>
      <c r="S269" s="173"/>
      <c r="T269" s="173"/>
      <c r="U269" s="173"/>
      <c r="V269" s="173"/>
      <c r="W269" s="173"/>
      <c r="X269" s="173"/>
      <c r="Y269" s="173"/>
      <c r="Z269" s="173"/>
      <c r="AA269" s="173"/>
      <c r="AB269" s="173"/>
      <c r="AC269" s="173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</row>
    <row r="270" spans="1:42" ht="12.75" customHeight="1" thickBot="1">
      <c r="A270" s="1003"/>
      <c r="B270" s="708" t="s">
        <v>589</v>
      </c>
      <c r="C270" s="709">
        <v>225</v>
      </c>
      <c r="D270" s="710">
        <v>0</v>
      </c>
      <c r="E270" s="711">
        <v>0.2</v>
      </c>
      <c r="F270" s="1002"/>
      <c r="G270" s="708" t="s">
        <v>1148</v>
      </c>
      <c r="H270" s="709">
        <v>472</v>
      </c>
      <c r="I270" s="710" t="s">
        <v>254</v>
      </c>
      <c r="J270" s="711" t="s">
        <v>254</v>
      </c>
      <c r="K270" s="1002"/>
      <c r="L270" s="708" t="s">
        <v>1149</v>
      </c>
      <c r="M270" s="709">
        <v>251</v>
      </c>
      <c r="N270" s="710" t="s">
        <v>254</v>
      </c>
      <c r="O270" s="711" t="s">
        <v>254</v>
      </c>
      <c r="P270" s="692"/>
      <c r="Q270" s="173"/>
      <c r="R270" s="173"/>
      <c r="S270" s="173"/>
      <c r="T270" s="173"/>
      <c r="U270" s="173"/>
      <c r="V270" s="173"/>
      <c r="W270" s="173"/>
      <c r="X270" s="173"/>
      <c r="Y270" s="173"/>
      <c r="Z270" s="173"/>
      <c r="AA270" s="173"/>
      <c r="AB270" s="173"/>
      <c r="AC270" s="173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</row>
    <row r="271" spans="1:42" ht="12.75" customHeight="1">
      <c r="A271" s="1001">
        <v>14</v>
      </c>
      <c r="B271" s="695" t="s">
        <v>592</v>
      </c>
      <c r="C271" s="696">
        <v>371</v>
      </c>
      <c r="D271" s="697" t="s">
        <v>254</v>
      </c>
      <c r="E271" s="698" t="s">
        <v>254</v>
      </c>
      <c r="F271" s="1001">
        <v>14</v>
      </c>
      <c r="G271" s="695" t="s">
        <v>1150</v>
      </c>
      <c r="H271" s="696">
        <v>506</v>
      </c>
      <c r="I271" s="697" t="s">
        <v>254</v>
      </c>
      <c r="J271" s="698" t="s">
        <v>254</v>
      </c>
      <c r="K271" s="1001">
        <v>14</v>
      </c>
      <c r="L271" s="695" t="s">
        <v>1151</v>
      </c>
      <c r="M271" s="696" t="s">
        <v>134</v>
      </c>
      <c r="N271" s="697" t="s">
        <v>254</v>
      </c>
      <c r="O271" s="698" t="s">
        <v>254</v>
      </c>
      <c r="P271" s="692"/>
      <c r="Q271" s="173"/>
      <c r="R271" s="173"/>
      <c r="S271" s="173"/>
      <c r="T271" s="173"/>
      <c r="U271" s="173"/>
      <c r="V271" s="173"/>
      <c r="W271" s="173"/>
      <c r="X271" s="173"/>
      <c r="Y271" s="173"/>
      <c r="Z271" s="173"/>
      <c r="AA271" s="173"/>
      <c r="AB271" s="173"/>
      <c r="AC271" s="173"/>
      <c r="AD271" s="173"/>
      <c r="AE271" s="173"/>
      <c r="AF271" s="173"/>
      <c r="AG271" s="173"/>
      <c r="AH271" s="173"/>
      <c r="AI271" s="173"/>
      <c r="AJ271" s="173"/>
      <c r="AK271" s="173"/>
      <c r="AL271" s="173"/>
      <c r="AM271" s="173"/>
      <c r="AN271" s="173"/>
      <c r="AO271" s="173"/>
      <c r="AP271" s="173"/>
    </row>
    <row r="272" spans="1:42" ht="12.75" customHeight="1">
      <c r="A272" s="1002"/>
      <c r="B272" s="700" t="s">
        <v>595</v>
      </c>
      <c r="C272" s="701">
        <v>378</v>
      </c>
      <c r="D272" s="702" t="s">
        <v>254</v>
      </c>
      <c r="E272" s="703" t="s">
        <v>254</v>
      </c>
      <c r="F272" s="1002"/>
      <c r="G272" s="700" t="s">
        <v>1152</v>
      </c>
      <c r="H272" s="701">
        <v>516</v>
      </c>
      <c r="I272" s="702" t="s">
        <v>254</v>
      </c>
      <c r="J272" s="703" t="s">
        <v>254</v>
      </c>
      <c r="K272" s="1002"/>
      <c r="L272" s="700" t="s">
        <v>1153</v>
      </c>
      <c r="M272" s="701" t="s">
        <v>134</v>
      </c>
      <c r="N272" s="702" t="s">
        <v>254</v>
      </c>
      <c r="O272" s="703" t="s">
        <v>254</v>
      </c>
      <c r="P272" s="692"/>
      <c r="Q272" s="173"/>
      <c r="R272" s="173"/>
      <c r="S272" s="173"/>
      <c r="T272" s="173"/>
      <c r="U272" s="173"/>
      <c r="V272" s="173"/>
      <c r="W272" s="173"/>
      <c r="X272" s="173"/>
      <c r="Y272" s="173"/>
      <c r="Z272" s="173"/>
      <c r="AA272" s="173"/>
      <c r="AB272" s="173"/>
      <c r="AC272" s="173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</row>
    <row r="273" spans="1:42" ht="12.75" customHeight="1" thickBot="1">
      <c r="A273" s="1003"/>
      <c r="B273" s="704" t="s">
        <v>598</v>
      </c>
      <c r="C273" s="705">
        <v>383</v>
      </c>
      <c r="D273" s="706">
        <v>-0.2</v>
      </c>
      <c r="E273" s="707">
        <v>0.2</v>
      </c>
      <c r="F273" s="1003"/>
      <c r="G273" s="704" t="s">
        <v>1154</v>
      </c>
      <c r="H273" s="705">
        <v>522</v>
      </c>
      <c r="I273" s="706" t="s">
        <v>254</v>
      </c>
      <c r="J273" s="707" t="s">
        <v>254</v>
      </c>
      <c r="K273" s="1003"/>
      <c r="L273" s="704" t="s">
        <v>1155</v>
      </c>
      <c r="M273" s="705" t="s">
        <v>134</v>
      </c>
      <c r="N273" s="706" t="s">
        <v>254</v>
      </c>
      <c r="O273" s="707" t="s">
        <v>254</v>
      </c>
      <c r="P273" s="692"/>
      <c r="Q273" s="173"/>
      <c r="R273" s="173"/>
      <c r="S273" s="173"/>
      <c r="T273" s="173"/>
      <c r="U273" s="173"/>
      <c r="V273" s="173"/>
      <c r="W273" s="173"/>
      <c r="X273" s="173"/>
      <c r="Y273" s="173"/>
      <c r="Z273" s="173"/>
      <c r="AA273" s="173"/>
      <c r="AB273" s="173"/>
      <c r="AC273" s="173"/>
      <c r="AD273" s="173"/>
      <c r="AE273" s="173"/>
      <c r="AF273" s="173"/>
      <c r="AG273" s="173"/>
      <c r="AH273" s="173"/>
      <c r="AI273" s="173"/>
      <c r="AJ273" s="173"/>
      <c r="AK273" s="173"/>
      <c r="AL273" s="173"/>
      <c r="AM273" s="173"/>
      <c r="AN273" s="173"/>
      <c r="AO273" s="173"/>
      <c r="AP273" s="173"/>
    </row>
    <row r="274" spans="1:42" ht="12.75" customHeight="1">
      <c r="A274" s="1001">
        <v>15</v>
      </c>
      <c r="B274" s="715" t="s">
        <v>601</v>
      </c>
      <c r="C274" s="716">
        <v>385</v>
      </c>
      <c r="D274" s="717">
        <v>-0.1</v>
      </c>
      <c r="E274" s="718">
        <v>0.1</v>
      </c>
      <c r="F274" s="1002">
        <v>15</v>
      </c>
      <c r="G274" s="715" t="s">
        <v>1156</v>
      </c>
      <c r="H274" s="716">
        <v>429</v>
      </c>
      <c r="I274" s="717" t="s">
        <v>254</v>
      </c>
      <c r="J274" s="718" t="s">
        <v>254</v>
      </c>
      <c r="K274" s="1002">
        <v>15</v>
      </c>
      <c r="L274" s="715" t="s">
        <v>1157</v>
      </c>
      <c r="M274" s="716" t="s">
        <v>134</v>
      </c>
      <c r="N274" s="717" t="s">
        <v>254</v>
      </c>
      <c r="O274" s="718" t="s">
        <v>254</v>
      </c>
      <c r="P274" s="692"/>
      <c r="Q274" s="173"/>
      <c r="R274" s="173"/>
      <c r="S274" s="173"/>
      <c r="T274" s="173"/>
      <c r="U274" s="173"/>
      <c r="V274" s="173"/>
      <c r="W274" s="173"/>
      <c r="X274" s="173"/>
      <c r="Y274" s="173"/>
      <c r="Z274" s="173"/>
      <c r="AA274" s="173"/>
      <c r="AB274" s="173"/>
      <c r="AC274" s="173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</row>
    <row r="275" spans="1:42" ht="12.75" customHeight="1">
      <c r="A275" s="1002"/>
      <c r="B275" s="700" t="s">
        <v>604</v>
      </c>
      <c r="C275" s="701">
        <v>389</v>
      </c>
      <c r="D275" s="702">
        <v>0</v>
      </c>
      <c r="E275" s="703">
        <v>0.4</v>
      </c>
      <c r="F275" s="1002"/>
      <c r="G275" s="700" t="s">
        <v>1158</v>
      </c>
      <c r="H275" s="701">
        <v>442</v>
      </c>
      <c r="I275" s="702">
        <v>0.9</v>
      </c>
      <c r="J275" s="703" t="s">
        <v>254</v>
      </c>
      <c r="K275" s="1002"/>
      <c r="L275" s="700" t="s">
        <v>1159</v>
      </c>
      <c r="M275" s="701" t="s">
        <v>134</v>
      </c>
      <c r="N275" s="702" t="s">
        <v>254</v>
      </c>
      <c r="O275" s="703" t="s">
        <v>254</v>
      </c>
      <c r="P275" s="692"/>
      <c r="Q275" s="173"/>
      <c r="R275" s="173"/>
      <c r="S275" s="173"/>
      <c r="T275" s="173"/>
      <c r="U275" s="173"/>
      <c r="V275" s="173"/>
      <c r="W275" s="173"/>
      <c r="X275" s="173"/>
      <c r="Y275" s="173"/>
      <c r="Z275" s="173"/>
      <c r="AA275" s="173"/>
      <c r="AB275" s="173"/>
      <c r="AC275" s="173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</row>
    <row r="276" spans="1:42" ht="12.75" customHeight="1" thickBot="1">
      <c r="A276" s="1003"/>
      <c r="B276" s="708" t="s">
        <v>607</v>
      </c>
      <c r="C276" s="709">
        <v>400</v>
      </c>
      <c r="D276" s="710">
        <v>-0.45</v>
      </c>
      <c r="E276" s="711">
        <v>0.45</v>
      </c>
      <c r="F276" s="1002"/>
      <c r="G276" s="708" t="s">
        <v>1160</v>
      </c>
      <c r="H276" s="709">
        <v>445</v>
      </c>
      <c r="I276" s="710" t="s">
        <v>254</v>
      </c>
      <c r="J276" s="711" t="s">
        <v>254</v>
      </c>
      <c r="K276" s="1002"/>
      <c r="L276" s="708" t="s">
        <v>1161</v>
      </c>
      <c r="M276" s="709" t="s">
        <v>134</v>
      </c>
      <c r="N276" s="710" t="s">
        <v>254</v>
      </c>
      <c r="O276" s="711" t="s">
        <v>254</v>
      </c>
      <c r="P276" s="692"/>
      <c r="Q276" s="173"/>
      <c r="R276" s="173"/>
      <c r="S276" s="173"/>
      <c r="T276" s="173"/>
      <c r="U276" s="173"/>
      <c r="V276" s="173"/>
      <c r="W276" s="173"/>
      <c r="X276" s="173"/>
      <c r="Y276" s="173"/>
      <c r="Z276" s="173"/>
      <c r="AA276" s="173"/>
      <c r="AB276" s="173"/>
      <c r="AC276" s="173"/>
      <c r="AD276" s="173"/>
      <c r="AE276" s="173"/>
      <c r="AF276" s="173"/>
      <c r="AG276" s="173"/>
      <c r="AH276" s="173"/>
      <c r="AI276" s="173"/>
      <c r="AJ276" s="173"/>
      <c r="AK276" s="173"/>
      <c r="AL276" s="173"/>
      <c r="AM276" s="173"/>
      <c r="AN276" s="173"/>
      <c r="AO276" s="173"/>
      <c r="AP276" s="173"/>
    </row>
    <row r="277" spans="1:42" ht="12.75" customHeight="1">
      <c r="A277" s="1001">
        <v>16</v>
      </c>
      <c r="B277" s="695" t="s">
        <v>610</v>
      </c>
      <c r="C277" s="696">
        <v>212</v>
      </c>
      <c r="D277" s="697" t="s">
        <v>254</v>
      </c>
      <c r="E277" s="698" t="s">
        <v>254</v>
      </c>
      <c r="F277" s="1001">
        <v>16</v>
      </c>
      <c r="G277" s="695" t="s">
        <v>1162</v>
      </c>
      <c r="H277" s="696">
        <v>260</v>
      </c>
      <c r="I277" s="697" t="s">
        <v>254</v>
      </c>
      <c r="J277" s="698" t="s">
        <v>254</v>
      </c>
      <c r="K277" s="1001">
        <v>16</v>
      </c>
      <c r="L277" s="695" t="s">
        <v>1163</v>
      </c>
      <c r="M277" s="696">
        <v>253</v>
      </c>
      <c r="N277" s="697" t="s">
        <v>254</v>
      </c>
      <c r="O277" s="698" t="s">
        <v>254</v>
      </c>
      <c r="P277" s="692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73"/>
      <c r="AM277" s="173"/>
      <c r="AN277" s="173"/>
      <c r="AO277" s="173"/>
      <c r="AP277" s="173"/>
    </row>
    <row r="278" spans="1:42" ht="12.75" customHeight="1">
      <c r="A278" s="1002"/>
      <c r="B278" s="700" t="s">
        <v>613</v>
      </c>
      <c r="C278" s="701">
        <v>221</v>
      </c>
      <c r="D278" s="702" t="s">
        <v>254</v>
      </c>
      <c r="E278" s="703" t="s">
        <v>254</v>
      </c>
      <c r="F278" s="1002"/>
      <c r="G278" s="700" t="s">
        <v>1164</v>
      </c>
      <c r="H278" s="701">
        <v>271</v>
      </c>
      <c r="I278" s="702" t="s">
        <v>254</v>
      </c>
      <c r="J278" s="703" t="s">
        <v>254</v>
      </c>
      <c r="K278" s="1002"/>
      <c r="L278" s="700" t="s">
        <v>1165</v>
      </c>
      <c r="M278" s="701">
        <v>264</v>
      </c>
      <c r="N278" s="702" t="s">
        <v>254</v>
      </c>
      <c r="O278" s="703" t="s">
        <v>254</v>
      </c>
      <c r="P278" s="692"/>
      <c r="Q278" s="173"/>
      <c r="R278" s="173"/>
      <c r="S278" s="173"/>
      <c r="T278" s="173"/>
      <c r="U278" s="173"/>
      <c r="V278" s="173"/>
      <c r="W278" s="173"/>
      <c r="X278" s="173"/>
      <c r="Y278" s="173"/>
      <c r="Z278" s="173"/>
      <c r="AA278" s="173"/>
      <c r="AB278" s="173"/>
      <c r="AC278" s="173"/>
      <c r="AD278" s="173"/>
      <c r="AE278" s="173"/>
      <c r="AF278" s="173"/>
      <c r="AG278" s="173"/>
      <c r="AH278" s="173"/>
      <c r="AI278" s="173"/>
      <c r="AJ278" s="173"/>
      <c r="AK278" s="173"/>
      <c r="AL278" s="173"/>
      <c r="AM278" s="173"/>
      <c r="AN278" s="173"/>
      <c r="AO278" s="173"/>
      <c r="AP278" s="173"/>
    </row>
    <row r="279" spans="1:42" ht="12.75" customHeight="1" thickBot="1">
      <c r="A279" s="1003"/>
      <c r="B279" s="704" t="s">
        <v>616</v>
      </c>
      <c r="C279" s="705">
        <v>229</v>
      </c>
      <c r="D279" s="706" t="s">
        <v>254</v>
      </c>
      <c r="E279" s="707" t="s">
        <v>254</v>
      </c>
      <c r="F279" s="1003"/>
      <c r="G279" s="704" t="s">
        <v>1166</v>
      </c>
      <c r="H279" s="705">
        <v>275</v>
      </c>
      <c r="I279" s="706" t="s">
        <v>254</v>
      </c>
      <c r="J279" s="707" t="s">
        <v>254</v>
      </c>
      <c r="K279" s="1003"/>
      <c r="L279" s="704" t="s">
        <v>1167</v>
      </c>
      <c r="M279" s="705">
        <v>270</v>
      </c>
      <c r="N279" s="706" t="s">
        <v>254</v>
      </c>
      <c r="O279" s="707" t="s">
        <v>254</v>
      </c>
      <c r="P279" s="692"/>
      <c r="Q279" s="173"/>
      <c r="R279" s="173"/>
      <c r="S279" s="173"/>
      <c r="T279" s="173"/>
      <c r="U279" s="173"/>
      <c r="V279" s="173"/>
      <c r="W279" s="173"/>
      <c r="X279" s="173"/>
      <c r="Y279" s="173"/>
      <c r="Z279" s="173"/>
      <c r="AA279" s="173"/>
      <c r="AB279" s="173"/>
      <c r="AC279" s="173"/>
      <c r="AD279" s="173"/>
      <c r="AE279" s="173"/>
      <c r="AF279" s="173"/>
      <c r="AG279" s="173"/>
      <c r="AH279" s="173"/>
      <c r="AI279" s="173"/>
      <c r="AJ279" s="173"/>
      <c r="AK279" s="173"/>
      <c r="AL279" s="173"/>
      <c r="AM279" s="173"/>
      <c r="AN279" s="173"/>
      <c r="AO279" s="173"/>
      <c r="AP279" s="173"/>
    </row>
    <row r="280" spans="1:42" ht="12.75" customHeight="1">
      <c r="A280" s="1001">
        <v>17</v>
      </c>
      <c r="B280" s="715" t="s">
        <v>619</v>
      </c>
      <c r="C280" s="716">
        <v>258</v>
      </c>
      <c r="D280" s="717" t="s">
        <v>254</v>
      </c>
      <c r="E280" s="718" t="s">
        <v>254</v>
      </c>
      <c r="F280" s="1002">
        <v>17</v>
      </c>
      <c r="G280" s="715" t="s">
        <v>1168</v>
      </c>
      <c r="H280" s="716">
        <v>483</v>
      </c>
      <c r="I280" s="717" t="s">
        <v>254</v>
      </c>
      <c r="J280" s="718" t="s">
        <v>254</v>
      </c>
      <c r="K280" s="1002">
        <v>17</v>
      </c>
      <c r="L280" s="715" t="s">
        <v>1169</v>
      </c>
      <c r="M280" s="716" t="s">
        <v>134</v>
      </c>
      <c r="N280" s="717" t="s">
        <v>254</v>
      </c>
      <c r="O280" s="718" t="s">
        <v>254</v>
      </c>
      <c r="P280" s="692"/>
      <c r="Q280" s="173"/>
      <c r="R280" s="173"/>
      <c r="S280" s="173"/>
      <c r="T280" s="173"/>
      <c r="U280" s="173"/>
      <c r="V280" s="173"/>
      <c r="W280" s="173"/>
      <c r="X280" s="173"/>
      <c r="Y280" s="173"/>
      <c r="Z280" s="173"/>
      <c r="AA280" s="173"/>
      <c r="AB280" s="173"/>
      <c r="AC280" s="173"/>
      <c r="AD280" s="173"/>
      <c r="AE280" s="173"/>
      <c r="AF280" s="173"/>
      <c r="AG280" s="173"/>
      <c r="AH280" s="173"/>
      <c r="AI280" s="173"/>
      <c r="AJ280" s="173"/>
      <c r="AK280" s="173"/>
      <c r="AL280" s="173"/>
      <c r="AM280" s="173"/>
      <c r="AN280" s="173"/>
      <c r="AO280" s="173"/>
      <c r="AP280" s="173"/>
    </row>
    <row r="281" spans="1:42" ht="12.75" customHeight="1">
      <c r="A281" s="1002"/>
      <c r="B281" s="700" t="s">
        <v>622</v>
      </c>
      <c r="C281" s="701">
        <v>261</v>
      </c>
      <c r="D281" s="702" t="s">
        <v>254</v>
      </c>
      <c r="E281" s="703" t="s">
        <v>254</v>
      </c>
      <c r="F281" s="1002"/>
      <c r="G281" s="700" t="s">
        <v>1170</v>
      </c>
      <c r="H281" s="701">
        <v>489</v>
      </c>
      <c r="I281" s="702">
        <v>-0.15</v>
      </c>
      <c r="J281" s="703">
        <v>0.2</v>
      </c>
      <c r="K281" s="1002"/>
      <c r="L281" s="700" t="s">
        <v>1171</v>
      </c>
      <c r="M281" s="701" t="s">
        <v>134</v>
      </c>
      <c r="N281" s="702" t="s">
        <v>254</v>
      </c>
      <c r="O281" s="703" t="s">
        <v>254</v>
      </c>
      <c r="P281" s="692"/>
      <c r="Q281" s="173"/>
      <c r="R281" s="173"/>
      <c r="S281" s="173"/>
      <c r="T281" s="173"/>
      <c r="U281" s="173"/>
      <c r="V281" s="173"/>
      <c r="W281" s="173"/>
      <c r="X281" s="173"/>
      <c r="Y281" s="173"/>
      <c r="Z281" s="173"/>
      <c r="AA281" s="173"/>
      <c r="AB281" s="173"/>
      <c r="AC281" s="173"/>
      <c r="AD281" s="173"/>
      <c r="AE281" s="173"/>
      <c r="AF281" s="173"/>
      <c r="AG281" s="173"/>
      <c r="AH281" s="173"/>
      <c r="AI281" s="173"/>
      <c r="AJ281" s="173"/>
      <c r="AK281" s="173"/>
      <c r="AL281" s="173"/>
      <c r="AM281" s="173"/>
      <c r="AN281" s="173"/>
      <c r="AO281" s="173"/>
      <c r="AP281" s="173"/>
    </row>
    <row r="282" spans="1:42" ht="12.75" customHeight="1" thickBot="1">
      <c r="A282" s="1003"/>
      <c r="B282" s="708" t="s">
        <v>625</v>
      </c>
      <c r="C282" s="709">
        <v>272</v>
      </c>
      <c r="D282" s="710" t="s">
        <v>254</v>
      </c>
      <c r="E282" s="711" t="s">
        <v>254</v>
      </c>
      <c r="F282" s="1002"/>
      <c r="G282" s="708" t="s">
        <v>1172</v>
      </c>
      <c r="H282" s="709" t="s">
        <v>134</v>
      </c>
      <c r="I282" s="710" t="s">
        <v>254</v>
      </c>
      <c r="J282" s="711" t="s">
        <v>254</v>
      </c>
      <c r="K282" s="1002"/>
      <c r="L282" s="708" t="s">
        <v>1173</v>
      </c>
      <c r="M282" s="709" t="s">
        <v>134</v>
      </c>
      <c r="N282" s="710" t="s">
        <v>254</v>
      </c>
      <c r="O282" s="711" t="s">
        <v>254</v>
      </c>
      <c r="P282" s="692"/>
      <c r="Q282" s="173"/>
      <c r="R282" s="173"/>
      <c r="S282" s="173"/>
      <c r="T282" s="173"/>
      <c r="U282" s="173"/>
      <c r="V282" s="173"/>
      <c r="W282" s="173"/>
      <c r="X282" s="173"/>
      <c r="Y282" s="173"/>
      <c r="Z282" s="173"/>
      <c r="AA282" s="173"/>
      <c r="AB282" s="173"/>
      <c r="AC282" s="173"/>
      <c r="AD282" s="173"/>
      <c r="AE282" s="173"/>
      <c r="AF282" s="173"/>
      <c r="AG282" s="173"/>
      <c r="AH282" s="173"/>
      <c r="AI282" s="173"/>
      <c r="AJ282" s="173"/>
      <c r="AK282" s="173"/>
      <c r="AL282" s="173"/>
      <c r="AM282" s="173"/>
      <c r="AN282" s="173"/>
      <c r="AO282" s="173"/>
      <c r="AP282" s="173"/>
    </row>
    <row r="283" spans="1:42" ht="12.75" customHeight="1">
      <c r="A283" s="1001">
        <v>18</v>
      </c>
      <c r="B283" s="695" t="s">
        <v>628</v>
      </c>
      <c r="C283" s="696">
        <v>390</v>
      </c>
      <c r="D283" s="697" t="s">
        <v>254</v>
      </c>
      <c r="E283" s="698" t="s">
        <v>254</v>
      </c>
      <c r="F283" s="1001">
        <v>18</v>
      </c>
      <c r="G283" s="695" t="s">
        <v>1174</v>
      </c>
      <c r="H283" s="696">
        <v>404</v>
      </c>
      <c r="I283" s="697" t="s">
        <v>254</v>
      </c>
      <c r="J283" s="698" t="s">
        <v>254</v>
      </c>
      <c r="K283" s="1001">
        <v>18</v>
      </c>
      <c r="L283" s="695" t="s">
        <v>1175</v>
      </c>
      <c r="M283" s="696" t="s">
        <v>134</v>
      </c>
      <c r="N283" s="697" t="s">
        <v>254</v>
      </c>
      <c r="O283" s="698" t="s">
        <v>254</v>
      </c>
      <c r="P283" s="692"/>
      <c r="Q283" s="173"/>
      <c r="R283" s="173"/>
      <c r="S283" s="173"/>
      <c r="T283" s="173"/>
      <c r="U283" s="173"/>
      <c r="V283" s="173"/>
      <c r="W283" s="173"/>
      <c r="X283" s="173"/>
      <c r="Y283" s="173"/>
      <c r="Z283" s="173"/>
      <c r="AA283" s="173"/>
      <c r="AB283" s="173"/>
      <c r="AC283" s="173"/>
      <c r="AD283" s="173"/>
      <c r="AE283" s="173"/>
      <c r="AF283" s="173"/>
      <c r="AG283" s="173"/>
      <c r="AH283" s="173"/>
      <c r="AI283" s="173"/>
      <c r="AJ283" s="173"/>
      <c r="AK283" s="173"/>
      <c r="AL283" s="173"/>
      <c r="AM283" s="173"/>
      <c r="AN283" s="173"/>
      <c r="AO283" s="173"/>
      <c r="AP283" s="173"/>
    </row>
    <row r="284" spans="1:42" ht="12.75" customHeight="1">
      <c r="A284" s="1002"/>
      <c r="B284" s="700" t="s">
        <v>631</v>
      </c>
      <c r="C284" s="701">
        <v>406</v>
      </c>
      <c r="D284" s="702">
        <v>-0.4</v>
      </c>
      <c r="E284" s="703">
        <v>0.4</v>
      </c>
      <c r="F284" s="1002"/>
      <c r="G284" s="700" t="s">
        <v>1176</v>
      </c>
      <c r="H284" s="701">
        <v>418</v>
      </c>
      <c r="I284" s="702" t="s">
        <v>254</v>
      </c>
      <c r="J284" s="703" t="s">
        <v>254</v>
      </c>
      <c r="K284" s="1002"/>
      <c r="L284" s="700" t="s">
        <v>1177</v>
      </c>
      <c r="M284" s="701" t="s">
        <v>134</v>
      </c>
      <c r="N284" s="702" t="s">
        <v>254</v>
      </c>
      <c r="O284" s="703" t="s">
        <v>254</v>
      </c>
      <c r="P284" s="692"/>
      <c r="Q284" s="173"/>
      <c r="R284" s="173"/>
      <c r="S284" s="173"/>
      <c r="T284" s="173"/>
      <c r="U284" s="173"/>
      <c r="V284" s="173"/>
      <c r="W284" s="173"/>
      <c r="X284" s="173"/>
      <c r="Y284" s="173"/>
      <c r="Z284" s="173"/>
      <c r="AA284" s="173"/>
      <c r="AB284" s="173"/>
      <c r="AC284" s="173"/>
      <c r="AD284" s="173"/>
      <c r="AE284" s="173"/>
      <c r="AF284" s="173"/>
      <c r="AG284" s="173"/>
      <c r="AH284" s="173"/>
      <c r="AI284" s="173"/>
      <c r="AJ284" s="173"/>
      <c r="AK284" s="173"/>
      <c r="AL284" s="173"/>
      <c r="AM284" s="173"/>
      <c r="AN284" s="173"/>
      <c r="AO284" s="173"/>
      <c r="AP284" s="173"/>
    </row>
    <row r="285" spans="1:42" ht="12.75" customHeight="1" thickBot="1">
      <c r="A285" s="1003"/>
      <c r="B285" s="704" t="s">
        <v>634</v>
      </c>
      <c r="C285" s="705">
        <v>406</v>
      </c>
      <c r="D285" s="706">
        <v>-0.5</v>
      </c>
      <c r="E285" s="707">
        <v>0.4</v>
      </c>
      <c r="F285" s="1003"/>
      <c r="G285" s="704" t="s">
        <v>1178</v>
      </c>
      <c r="H285" s="705" t="s">
        <v>134</v>
      </c>
      <c r="I285" s="706" t="s">
        <v>254</v>
      </c>
      <c r="J285" s="707" t="s">
        <v>254</v>
      </c>
      <c r="K285" s="1003"/>
      <c r="L285" s="704" t="s">
        <v>1179</v>
      </c>
      <c r="M285" s="705" t="s">
        <v>134</v>
      </c>
      <c r="N285" s="706" t="s">
        <v>254</v>
      </c>
      <c r="O285" s="707" t="s">
        <v>254</v>
      </c>
      <c r="P285" s="692"/>
      <c r="Q285" s="173"/>
      <c r="R285" s="173"/>
      <c r="S285" s="173"/>
      <c r="T285" s="173"/>
      <c r="U285" s="173"/>
      <c r="V285" s="173"/>
      <c r="W285" s="173"/>
      <c r="X285" s="173"/>
      <c r="Y285" s="173"/>
      <c r="Z285" s="173"/>
      <c r="AA285" s="173"/>
      <c r="AB285" s="173"/>
      <c r="AC285" s="173"/>
      <c r="AD285" s="173"/>
      <c r="AE285" s="173"/>
      <c r="AF285" s="173"/>
      <c r="AG285" s="173"/>
      <c r="AH285" s="173"/>
      <c r="AI285" s="173"/>
      <c r="AJ285" s="173"/>
      <c r="AK285" s="173"/>
      <c r="AL285" s="173"/>
      <c r="AM285" s="173"/>
      <c r="AN285" s="173"/>
      <c r="AO285" s="173"/>
      <c r="AP285" s="173"/>
    </row>
    <row r="286" spans="1:42" ht="12.75" customHeight="1" thickBot="1">
      <c r="A286" s="1004" t="s">
        <v>1180</v>
      </c>
      <c r="B286" s="1004"/>
      <c r="C286" s="1004"/>
      <c r="D286" s="1004"/>
      <c r="E286" s="1004"/>
      <c r="F286" s="1004" t="s">
        <v>1181</v>
      </c>
      <c r="G286" s="1004"/>
      <c r="H286" s="1004"/>
      <c r="I286" s="1004"/>
      <c r="J286" s="1004"/>
      <c r="K286" s="1004" t="s">
        <v>403</v>
      </c>
      <c r="L286" s="1004"/>
      <c r="M286" s="1004"/>
      <c r="N286" s="1004"/>
      <c r="O286" s="1004"/>
      <c r="P286" s="692"/>
      <c r="Q286" s="173"/>
      <c r="R286" s="173"/>
      <c r="S286" s="173"/>
      <c r="T286" s="173"/>
      <c r="U286" s="173"/>
      <c r="V286" s="173"/>
      <c r="W286" s="173"/>
      <c r="X286" s="173"/>
      <c r="Y286" s="173"/>
      <c r="Z286" s="173"/>
      <c r="AA286" s="173"/>
      <c r="AB286" s="173"/>
      <c r="AC286" s="173"/>
      <c r="AD286" s="173"/>
      <c r="AE286" s="173"/>
      <c r="AF286" s="173"/>
      <c r="AG286" s="173"/>
      <c r="AH286" s="173"/>
      <c r="AI286" s="173"/>
      <c r="AJ286" s="173"/>
      <c r="AK286" s="173"/>
      <c r="AL286" s="173"/>
      <c r="AM286" s="173"/>
      <c r="AN286" s="173"/>
      <c r="AO286" s="173"/>
      <c r="AP286" s="173"/>
    </row>
    <row r="287" spans="1:42" ht="12.75" customHeight="1" thickBot="1">
      <c r="A287" s="1004"/>
      <c r="B287" s="1004"/>
      <c r="C287" s="1004"/>
      <c r="D287" s="1004"/>
      <c r="E287" s="1004"/>
      <c r="F287" s="1004"/>
      <c r="G287" s="1004"/>
      <c r="H287" s="1004"/>
      <c r="I287" s="1004"/>
      <c r="J287" s="1004"/>
      <c r="K287" s="1004"/>
      <c r="L287" s="1004"/>
      <c r="M287" s="1004"/>
      <c r="N287" s="1004"/>
      <c r="O287" s="1004"/>
      <c r="P287" s="692"/>
      <c r="Q287" s="173"/>
      <c r="R287" s="173"/>
      <c r="S287" s="173"/>
      <c r="T287" s="173"/>
      <c r="U287" s="173"/>
      <c r="V287" s="173"/>
      <c r="W287" s="173"/>
      <c r="X287" s="173"/>
      <c r="Y287" s="173"/>
      <c r="Z287" s="173"/>
      <c r="AA287" s="173"/>
      <c r="AB287" s="173"/>
      <c r="AC287" s="173"/>
      <c r="AD287" s="173"/>
      <c r="AE287" s="173"/>
      <c r="AF287" s="173"/>
      <c r="AG287" s="173"/>
      <c r="AH287" s="173"/>
      <c r="AI287" s="173"/>
      <c r="AJ287" s="173"/>
      <c r="AK287" s="173"/>
      <c r="AL287" s="173"/>
      <c r="AM287" s="173"/>
      <c r="AN287" s="173"/>
      <c r="AO287" s="173"/>
      <c r="AP287" s="173"/>
    </row>
    <row r="288" spans="1:42" ht="12.75" customHeight="1" thickBot="1">
      <c r="A288" s="1005" t="s">
        <v>261</v>
      </c>
      <c r="B288" s="1005"/>
      <c r="C288" s="722" t="s">
        <v>470</v>
      </c>
      <c r="D288" s="722" t="s">
        <v>471</v>
      </c>
      <c r="E288" s="722" t="s">
        <v>472</v>
      </c>
      <c r="F288" s="1005" t="s">
        <v>261</v>
      </c>
      <c r="G288" s="1005"/>
      <c r="H288" s="722" t="s">
        <v>470</v>
      </c>
      <c r="I288" s="722" t="s">
        <v>471</v>
      </c>
      <c r="J288" s="722" t="s">
        <v>472</v>
      </c>
      <c r="K288" s="1005" t="s">
        <v>261</v>
      </c>
      <c r="L288" s="1005"/>
      <c r="M288" s="722" t="s">
        <v>470</v>
      </c>
      <c r="N288" s="722" t="s">
        <v>471</v>
      </c>
      <c r="O288" s="722" t="s">
        <v>472</v>
      </c>
      <c r="P288" s="692"/>
      <c r="Q288" s="173"/>
      <c r="R288" s="173"/>
      <c r="S288" s="173"/>
      <c r="T288" s="173"/>
      <c r="U288" s="173"/>
      <c r="V288" s="173"/>
      <c r="W288" s="173"/>
      <c r="X288" s="173"/>
      <c r="Y288" s="173"/>
      <c r="Z288" s="173"/>
      <c r="AA288" s="173"/>
      <c r="AB288" s="173"/>
      <c r="AC288" s="173"/>
      <c r="AD288" s="173"/>
      <c r="AE288" s="173"/>
      <c r="AF288" s="173"/>
      <c r="AG288" s="173"/>
      <c r="AH288" s="173"/>
      <c r="AI288" s="173"/>
      <c r="AJ288" s="173"/>
      <c r="AK288" s="173"/>
      <c r="AL288" s="173"/>
      <c r="AM288" s="173"/>
      <c r="AN288" s="173"/>
      <c r="AO288" s="173"/>
      <c r="AP288" s="173"/>
    </row>
    <row r="289" spans="1:42" ht="12.75" customHeight="1">
      <c r="A289" s="1002">
        <v>1</v>
      </c>
      <c r="B289" s="695" t="s">
        <v>1182</v>
      </c>
      <c r="C289" s="696"/>
      <c r="D289" s="697"/>
      <c r="E289" s="698"/>
      <c r="F289" s="1002">
        <v>1</v>
      </c>
      <c r="G289" s="695" t="s">
        <v>1183</v>
      </c>
      <c r="H289" s="696"/>
      <c r="I289" s="697"/>
      <c r="J289" s="698"/>
      <c r="K289" s="1002">
        <v>1</v>
      </c>
      <c r="L289" s="695" t="s">
        <v>1184</v>
      </c>
      <c r="M289" s="696">
        <v>457</v>
      </c>
      <c r="N289" s="697" t="s">
        <v>254</v>
      </c>
      <c r="O289" s="698" t="s">
        <v>254</v>
      </c>
      <c r="P289" s="692"/>
      <c r="Q289" s="173"/>
      <c r="R289" s="173"/>
      <c r="S289" s="173"/>
      <c r="T289" s="173"/>
      <c r="U289" s="173"/>
      <c r="V289" s="173"/>
      <c r="W289" s="173"/>
      <c r="X289" s="173"/>
      <c r="Y289" s="173"/>
      <c r="Z289" s="173"/>
      <c r="AA289" s="173"/>
      <c r="AB289" s="173"/>
      <c r="AC289" s="173"/>
      <c r="AD289" s="173"/>
      <c r="AE289" s="173"/>
      <c r="AF289" s="173"/>
      <c r="AG289" s="173"/>
      <c r="AH289" s="173"/>
      <c r="AI289" s="173"/>
      <c r="AJ289" s="173"/>
      <c r="AK289" s="173"/>
      <c r="AL289" s="173"/>
      <c r="AM289" s="173"/>
      <c r="AN289" s="173"/>
      <c r="AO289" s="173"/>
      <c r="AP289" s="173"/>
    </row>
    <row r="290" spans="1:42" ht="12.75" customHeight="1">
      <c r="A290" s="1002"/>
      <c r="B290" s="700" t="s">
        <v>1185</v>
      </c>
      <c r="C290" s="701"/>
      <c r="D290" s="702"/>
      <c r="E290" s="703"/>
      <c r="F290" s="1002"/>
      <c r="G290" s="700" t="s">
        <v>1186</v>
      </c>
      <c r="H290" s="701"/>
      <c r="I290" s="702"/>
      <c r="J290" s="703"/>
      <c r="K290" s="1002"/>
      <c r="L290" s="700" t="s">
        <v>1187</v>
      </c>
      <c r="M290" s="701">
        <v>480</v>
      </c>
      <c r="N290" s="702">
        <v>0</v>
      </c>
      <c r="O290" s="703">
        <v>0</v>
      </c>
      <c r="P290" s="692"/>
      <c r="Q290" s="173"/>
      <c r="R290" s="173"/>
      <c r="S290" s="173"/>
      <c r="T290" s="173"/>
      <c r="U290" s="173"/>
      <c r="V290" s="173"/>
      <c r="W290" s="173"/>
      <c r="X290" s="173"/>
      <c r="Y290" s="173"/>
      <c r="Z290" s="173"/>
      <c r="AA290" s="173"/>
      <c r="AB290" s="173"/>
      <c r="AC290" s="173"/>
      <c r="AD290" s="173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</row>
    <row r="291" spans="1:42" ht="12.75" customHeight="1" thickBot="1">
      <c r="A291" s="1003"/>
      <c r="B291" s="708" t="s">
        <v>1188</v>
      </c>
      <c r="C291" s="709"/>
      <c r="D291" s="710"/>
      <c r="E291" s="711"/>
      <c r="F291" s="1002"/>
      <c r="G291" s="708" t="s">
        <v>1189</v>
      </c>
      <c r="H291" s="709"/>
      <c r="I291" s="710"/>
      <c r="J291" s="711"/>
      <c r="K291" s="1002"/>
      <c r="L291" s="708" t="s">
        <v>1190</v>
      </c>
      <c r="M291" s="709">
        <v>486</v>
      </c>
      <c r="N291" s="710">
        <v>0.1</v>
      </c>
      <c r="O291" s="711">
        <v>-0.1</v>
      </c>
      <c r="P291" s="692"/>
      <c r="Q291" s="173"/>
      <c r="R291" s="173"/>
      <c r="S291" s="173"/>
      <c r="T291" s="173"/>
      <c r="U291" s="173"/>
      <c r="V291" s="173"/>
      <c r="W291" s="173"/>
      <c r="X291" s="173"/>
      <c r="Y291" s="173"/>
      <c r="Z291" s="173"/>
      <c r="AA291" s="173"/>
      <c r="AB291" s="173"/>
      <c r="AC291" s="173"/>
      <c r="AD291" s="173"/>
      <c r="AE291" s="173"/>
      <c r="AF291" s="173"/>
      <c r="AG291" s="173"/>
      <c r="AH291" s="173"/>
      <c r="AI291" s="173"/>
      <c r="AJ291" s="173"/>
      <c r="AK291" s="173"/>
      <c r="AL291" s="173"/>
      <c r="AM291" s="173"/>
      <c r="AN291" s="173"/>
      <c r="AO291" s="173"/>
      <c r="AP291" s="173"/>
    </row>
    <row r="292" spans="1:42" ht="12.75" customHeight="1">
      <c r="A292" s="1001">
        <v>2</v>
      </c>
      <c r="B292" s="695" t="s">
        <v>1191</v>
      </c>
      <c r="C292" s="696"/>
      <c r="D292" s="697"/>
      <c r="E292" s="698"/>
      <c r="F292" s="1001">
        <v>2</v>
      </c>
      <c r="G292" s="695" t="s">
        <v>1192</v>
      </c>
      <c r="H292" s="696"/>
      <c r="I292" s="697"/>
      <c r="J292" s="698"/>
      <c r="K292" s="1001">
        <v>2</v>
      </c>
      <c r="L292" s="695" t="s">
        <v>1193</v>
      </c>
      <c r="M292" s="696">
        <v>227</v>
      </c>
      <c r="N292" s="697" t="s">
        <v>254</v>
      </c>
      <c r="O292" s="698" t="s">
        <v>254</v>
      </c>
      <c r="P292" s="692"/>
      <c r="Q292" s="173"/>
      <c r="R292" s="173"/>
      <c r="S292" s="173"/>
      <c r="T292" s="173"/>
      <c r="U292" s="173"/>
      <c r="V292" s="173"/>
      <c r="W292" s="173"/>
      <c r="X292" s="173"/>
      <c r="Y292" s="173"/>
      <c r="Z292" s="173"/>
      <c r="AA292" s="173"/>
      <c r="AB292" s="173"/>
      <c r="AC292" s="173"/>
      <c r="AD292" s="173"/>
      <c r="AE292" s="173"/>
      <c r="AF292" s="173"/>
      <c r="AG292" s="173"/>
      <c r="AH292" s="173"/>
      <c r="AI292" s="173"/>
      <c r="AJ292" s="173"/>
      <c r="AK292" s="173"/>
      <c r="AL292" s="173"/>
      <c r="AM292" s="173"/>
      <c r="AN292" s="173"/>
      <c r="AO292" s="173"/>
      <c r="AP292" s="173"/>
    </row>
    <row r="293" spans="1:42" ht="12.75" customHeight="1">
      <c r="A293" s="1002"/>
      <c r="B293" s="700" t="s">
        <v>1194</v>
      </c>
      <c r="C293" s="701"/>
      <c r="D293" s="702"/>
      <c r="E293" s="703"/>
      <c r="F293" s="1002"/>
      <c r="G293" s="700" t="s">
        <v>1195</v>
      </c>
      <c r="H293" s="701"/>
      <c r="I293" s="702"/>
      <c r="J293" s="703"/>
      <c r="K293" s="1002"/>
      <c r="L293" s="700" t="s">
        <v>1196</v>
      </c>
      <c r="M293" s="701">
        <v>236</v>
      </c>
      <c r="N293" s="702">
        <v>0.12</v>
      </c>
      <c r="O293" s="703">
        <v>0</v>
      </c>
      <c r="P293" s="692"/>
      <c r="Q293" s="173"/>
      <c r="R293" s="173"/>
      <c r="S293" s="173"/>
      <c r="T293" s="173"/>
      <c r="U293" s="173"/>
      <c r="V293" s="173"/>
      <c r="W293" s="173"/>
      <c r="X293" s="173"/>
      <c r="Y293" s="173"/>
      <c r="Z293" s="173"/>
      <c r="AA293" s="173"/>
      <c r="AB293" s="173"/>
      <c r="AC293" s="173"/>
      <c r="AD293" s="173"/>
      <c r="AE293" s="173"/>
      <c r="AF293" s="173"/>
      <c r="AG293" s="173"/>
      <c r="AH293" s="173"/>
      <c r="AI293" s="173"/>
      <c r="AJ293" s="173"/>
      <c r="AK293" s="173"/>
      <c r="AL293" s="173"/>
      <c r="AM293" s="173"/>
      <c r="AN293" s="173"/>
      <c r="AO293" s="173"/>
      <c r="AP293" s="173"/>
    </row>
    <row r="294" spans="1:42" ht="12.75" customHeight="1" thickBot="1">
      <c r="A294" s="1003"/>
      <c r="B294" s="704" t="s">
        <v>1197</v>
      </c>
      <c r="C294" s="705"/>
      <c r="D294" s="706"/>
      <c r="E294" s="707"/>
      <c r="F294" s="1003"/>
      <c r="G294" s="704" t="s">
        <v>1198</v>
      </c>
      <c r="H294" s="705"/>
      <c r="I294" s="706"/>
      <c r="J294" s="707"/>
      <c r="K294" s="1003"/>
      <c r="L294" s="704" t="s">
        <v>1199</v>
      </c>
      <c r="M294" s="705">
        <v>244</v>
      </c>
      <c r="N294" s="706">
        <v>0</v>
      </c>
      <c r="O294" s="707">
        <v>0.05</v>
      </c>
      <c r="P294" s="692"/>
      <c r="Q294" s="173"/>
      <c r="R294" s="173"/>
      <c r="S294" s="173"/>
      <c r="T294" s="173"/>
      <c r="U294" s="173"/>
      <c r="V294" s="173"/>
      <c r="W294" s="173"/>
      <c r="X294" s="173"/>
      <c r="Y294" s="173"/>
      <c r="Z294" s="173"/>
      <c r="AA294" s="173"/>
      <c r="AB294" s="173"/>
      <c r="AC294" s="173"/>
      <c r="AD294" s="173"/>
      <c r="AE294" s="173"/>
      <c r="AF294" s="173"/>
      <c r="AG294" s="173"/>
      <c r="AH294" s="173"/>
      <c r="AI294" s="173"/>
      <c r="AJ294" s="173"/>
      <c r="AK294" s="173"/>
      <c r="AL294" s="173"/>
      <c r="AM294" s="173"/>
      <c r="AN294" s="173"/>
      <c r="AO294" s="173"/>
      <c r="AP294" s="173"/>
    </row>
    <row r="295" spans="1:42" ht="12.75" customHeight="1">
      <c r="A295" s="1001">
        <v>3</v>
      </c>
      <c r="B295" s="715" t="s">
        <v>1200</v>
      </c>
      <c r="C295" s="716"/>
      <c r="D295" s="717"/>
      <c r="E295" s="718"/>
      <c r="F295" s="1002">
        <v>3</v>
      </c>
      <c r="G295" s="715" t="s">
        <v>1201</v>
      </c>
      <c r="H295" s="716"/>
      <c r="I295" s="717"/>
      <c r="J295" s="718"/>
      <c r="K295" s="1002">
        <v>3</v>
      </c>
      <c r="L295" s="715" t="s">
        <v>1202</v>
      </c>
      <c r="M295" s="716">
        <v>441</v>
      </c>
      <c r="N295" s="717" t="s">
        <v>254</v>
      </c>
      <c r="O295" s="718" t="s">
        <v>254</v>
      </c>
      <c r="P295" s="692"/>
      <c r="Q295" s="173"/>
      <c r="R295" s="173"/>
      <c r="S295" s="173"/>
      <c r="T295" s="173"/>
      <c r="U295" s="173"/>
      <c r="V295" s="173"/>
      <c r="W295" s="173"/>
      <c r="X295" s="173"/>
      <c r="Y295" s="173"/>
      <c r="Z295" s="173"/>
      <c r="AA295" s="173"/>
      <c r="AB295" s="173"/>
      <c r="AC295" s="173"/>
      <c r="AD295" s="173"/>
      <c r="AE295" s="173"/>
      <c r="AF295" s="173"/>
      <c r="AG295" s="173"/>
      <c r="AH295" s="173"/>
      <c r="AI295" s="173"/>
      <c r="AJ295" s="173"/>
      <c r="AK295" s="173"/>
      <c r="AL295" s="173"/>
      <c r="AM295" s="173"/>
      <c r="AN295" s="173"/>
      <c r="AO295" s="173"/>
      <c r="AP295" s="173"/>
    </row>
    <row r="296" spans="1:42" ht="12.75" customHeight="1">
      <c r="A296" s="1002"/>
      <c r="B296" s="700" t="s">
        <v>1203</v>
      </c>
      <c r="C296" s="701"/>
      <c r="D296" s="702"/>
      <c r="E296" s="703"/>
      <c r="F296" s="1002"/>
      <c r="G296" s="700" t="s">
        <v>1204</v>
      </c>
      <c r="H296" s="701"/>
      <c r="I296" s="702"/>
      <c r="J296" s="703"/>
      <c r="K296" s="1002"/>
      <c r="L296" s="700" t="s">
        <v>1205</v>
      </c>
      <c r="M296" s="701">
        <v>491</v>
      </c>
      <c r="N296" s="702">
        <v>-0.2</v>
      </c>
      <c r="O296" s="703" t="s">
        <v>254</v>
      </c>
      <c r="P296" s="692"/>
      <c r="Q296" s="173"/>
      <c r="R296" s="173"/>
      <c r="S296" s="173"/>
      <c r="T296" s="173"/>
      <c r="U296" s="173"/>
      <c r="V296" s="173"/>
      <c r="W296" s="173"/>
      <c r="X296" s="173"/>
      <c r="Y296" s="173"/>
      <c r="Z296" s="173"/>
      <c r="AA296" s="173"/>
      <c r="AB296" s="173"/>
      <c r="AC296" s="173"/>
      <c r="AD296" s="173"/>
      <c r="AE296" s="173"/>
      <c r="AF296" s="173"/>
      <c r="AG296" s="173"/>
      <c r="AH296" s="173"/>
      <c r="AI296" s="173"/>
      <c r="AJ296" s="173"/>
      <c r="AK296" s="173"/>
      <c r="AL296" s="173"/>
      <c r="AM296" s="173"/>
      <c r="AN296" s="173"/>
      <c r="AO296" s="173"/>
      <c r="AP296" s="173"/>
    </row>
    <row r="297" spans="1:42" ht="12.75" customHeight="1" thickBot="1">
      <c r="A297" s="1003"/>
      <c r="B297" s="708" t="s">
        <v>1206</v>
      </c>
      <c r="C297" s="709"/>
      <c r="D297" s="710"/>
      <c r="E297" s="711"/>
      <c r="F297" s="1002"/>
      <c r="G297" s="708" t="s">
        <v>1207</v>
      </c>
      <c r="H297" s="709"/>
      <c r="I297" s="710"/>
      <c r="J297" s="711"/>
      <c r="K297" s="1002"/>
      <c r="L297" s="708" t="s">
        <v>1208</v>
      </c>
      <c r="M297" s="709">
        <v>501</v>
      </c>
      <c r="N297" s="710" t="s">
        <v>254</v>
      </c>
      <c r="O297" s="711" t="s">
        <v>254</v>
      </c>
      <c r="P297" s="692"/>
      <c r="Q297" s="173"/>
      <c r="R297" s="173"/>
      <c r="S297" s="173"/>
      <c r="T297" s="173"/>
      <c r="U297" s="173"/>
      <c r="V297" s="173"/>
      <c r="W297" s="173"/>
      <c r="X297" s="173"/>
      <c r="Y297" s="173"/>
      <c r="Z297" s="173"/>
      <c r="AA297" s="173"/>
      <c r="AB297" s="173"/>
      <c r="AC297" s="173"/>
      <c r="AD297" s="173"/>
      <c r="AE297" s="173"/>
      <c r="AF297" s="173"/>
      <c r="AG297" s="173"/>
      <c r="AH297" s="173"/>
      <c r="AI297" s="173"/>
      <c r="AJ297" s="173"/>
      <c r="AK297" s="173"/>
      <c r="AL297" s="173"/>
      <c r="AM297" s="173"/>
      <c r="AN297" s="173"/>
      <c r="AO297" s="173"/>
      <c r="AP297" s="173"/>
    </row>
    <row r="298" spans="1:42" ht="12.75" customHeight="1">
      <c r="A298" s="1001">
        <v>4</v>
      </c>
      <c r="B298" s="695" t="s">
        <v>1209</v>
      </c>
      <c r="C298" s="696"/>
      <c r="D298" s="697"/>
      <c r="E298" s="698"/>
      <c r="F298" s="1001">
        <v>4</v>
      </c>
      <c r="G298" s="695" t="s">
        <v>1210</v>
      </c>
      <c r="H298" s="696"/>
      <c r="I298" s="697"/>
      <c r="J298" s="698"/>
      <c r="K298" s="1001">
        <v>4</v>
      </c>
      <c r="L298" s="695" t="s">
        <v>1211</v>
      </c>
      <c r="M298" s="696">
        <v>416</v>
      </c>
      <c r="N298" s="697" t="s">
        <v>254</v>
      </c>
      <c r="O298" s="698" t="s">
        <v>254</v>
      </c>
      <c r="P298" s="692"/>
      <c r="Q298" s="173"/>
      <c r="R298" s="173"/>
      <c r="S298" s="173"/>
      <c r="T298" s="173"/>
      <c r="U298" s="173"/>
      <c r="V298" s="173"/>
      <c r="W298" s="173"/>
      <c r="X298" s="173"/>
      <c r="Y298" s="173"/>
      <c r="Z298" s="173"/>
      <c r="AA298" s="173"/>
      <c r="AB298" s="173"/>
      <c r="AC298" s="173"/>
      <c r="AD298" s="173"/>
      <c r="AE298" s="173"/>
      <c r="AF298" s="173"/>
      <c r="AG298" s="173"/>
      <c r="AH298" s="173"/>
      <c r="AI298" s="173"/>
      <c r="AJ298" s="173"/>
      <c r="AK298" s="173"/>
      <c r="AL298" s="173"/>
      <c r="AM298" s="173"/>
      <c r="AN298" s="173"/>
      <c r="AO298" s="173"/>
      <c r="AP298" s="173"/>
    </row>
    <row r="299" spans="1:42" ht="12.75" customHeight="1">
      <c r="A299" s="1002"/>
      <c r="B299" s="700" t="s">
        <v>1212</v>
      </c>
      <c r="C299" s="701"/>
      <c r="D299" s="702"/>
      <c r="E299" s="703"/>
      <c r="F299" s="1002"/>
      <c r="G299" s="700" t="s">
        <v>1213</v>
      </c>
      <c r="H299" s="701"/>
      <c r="I299" s="702"/>
      <c r="J299" s="703"/>
      <c r="K299" s="1002"/>
      <c r="L299" s="700" t="s">
        <v>1214</v>
      </c>
      <c r="M299" s="701">
        <v>434</v>
      </c>
      <c r="N299" s="702" t="s">
        <v>254</v>
      </c>
      <c r="O299" s="703">
        <v>-0.7</v>
      </c>
      <c r="P299" s="692"/>
      <c r="Q299" s="173"/>
      <c r="R299" s="173"/>
      <c r="S299" s="173"/>
      <c r="T299" s="173"/>
      <c r="U299" s="173"/>
      <c r="V299" s="173"/>
      <c r="W299" s="173"/>
      <c r="X299" s="173"/>
      <c r="Y299" s="173"/>
      <c r="Z299" s="173"/>
      <c r="AA299" s="173"/>
      <c r="AB299" s="173"/>
      <c r="AC299" s="173"/>
      <c r="AD299" s="173"/>
      <c r="AE299" s="173"/>
      <c r="AF299" s="173"/>
      <c r="AG299" s="173"/>
      <c r="AH299" s="173"/>
      <c r="AI299" s="173"/>
      <c r="AJ299" s="173"/>
      <c r="AK299" s="173"/>
      <c r="AL299" s="173"/>
      <c r="AM299" s="173"/>
      <c r="AN299" s="173"/>
      <c r="AO299" s="173"/>
      <c r="AP299" s="173"/>
    </row>
    <row r="300" spans="1:42" ht="12.75" customHeight="1" thickBot="1">
      <c r="A300" s="1003"/>
      <c r="B300" s="704" t="s">
        <v>1215</v>
      </c>
      <c r="C300" s="705"/>
      <c r="D300" s="706"/>
      <c r="E300" s="707"/>
      <c r="F300" s="1003"/>
      <c r="G300" s="704" t="s">
        <v>1216</v>
      </c>
      <c r="H300" s="705"/>
      <c r="I300" s="706"/>
      <c r="J300" s="707"/>
      <c r="K300" s="1003"/>
      <c r="L300" s="704" t="s">
        <v>1217</v>
      </c>
      <c r="M300" s="705">
        <v>438</v>
      </c>
      <c r="N300" s="706">
        <v>0.1</v>
      </c>
      <c r="O300" s="707" t="s">
        <v>254</v>
      </c>
      <c r="P300" s="692"/>
      <c r="Q300" s="173"/>
      <c r="R300" s="173"/>
      <c r="S300" s="173"/>
      <c r="T300" s="173"/>
      <c r="U300" s="173"/>
      <c r="V300" s="173"/>
      <c r="W300" s="173"/>
      <c r="X300" s="173"/>
      <c r="Y300" s="173"/>
      <c r="Z300" s="173"/>
      <c r="AA300" s="173"/>
      <c r="AB300" s="173"/>
      <c r="AC300" s="173"/>
      <c r="AD300" s="173"/>
      <c r="AE300" s="173"/>
      <c r="AF300" s="173"/>
      <c r="AG300" s="173"/>
      <c r="AH300" s="173"/>
      <c r="AI300" s="173"/>
      <c r="AJ300" s="173"/>
      <c r="AK300" s="173"/>
      <c r="AL300" s="173"/>
      <c r="AM300" s="173"/>
      <c r="AN300" s="173"/>
      <c r="AO300" s="173"/>
      <c r="AP300" s="173"/>
    </row>
    <row r="301" spans="1:42" ht="12.75" customHeight="1">
      <c r="A301" s="1001">
        <v>5</v>
      </c>
      <c r="B301" s="715" t="s">
        <v>1218</v>
      </c>
      <c r="C301" s="716"/>
      <c r="D301" s="717"/>
      <c r="E301" s="718"/>
      <c r="F301" s="1002">
        <v>5</v>
      </c>
      <c r="G301" s="715" t="s">
        <v>1219</v>
      </c>
      <c r="H301" s="716"/>
      <c r="I301" s="717"/>
      <c r="J301" s="718"/>
      <c r="K301" s="1002">
        <v>5</v>
      </c>
      <c r="L301" s="715" t="s">
        <v>1220</v>
      </c>
      <c r="M301" s="716">
        <v>456</v>
      </c>
      <c r="N301" s="717" t="s">
        <v>254</v>
      </c>
      <c r="O301" s="718" t="s">
        <v>254</v>
      </c>
      <c r="P301" s="692"/>
      <c r="Q301" s="173"/>
      <c r="R301" s="173"/>
      <c r="S301" s="173"/>
      <c r="T301" s="173"/>
      <c r="U301" s="173"/>
      <c r="V301" s="173"/>
      <c r="W301" s="173"/>
      <c r="X301" s="173"/>
      <c r="Y301" s="173"/>
      <c r="Z301" s="173"/>
      <c r="AA301" s="173"/>
      <c r="AB301" s="173"/>
      <c r="AC301" s="173"/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</row>
    <row r="302" spans="1:42" ht="12.75" customHeight="1">
      <c r="A302" s="1002"/>
      <c r="B302" s="700" t="s">
        <v>1221</v>
      </c>
      <c r="C302" s="701"/>
      <c r="D302" s="702"/>
      <c r="E302" s="703"/>
      <c r="F302" s="1002"/>
      <c r="G302" s="700" t="s">
        <v>1222</v>
      </c>
      <c r="H302" s="701"/>
      <c r="I302" s="702"/>
      <c r="J302" s="703"/>
      <c r="K302" s="1002"/>
      <c r="L302" s="700" t="s">
        <v>1223</v>
      </c>
      <c r="M302" s="701">
        <v>472</v>
      </c>
      <c r="N302" s="702" t="s">
        <v>254</v>
      </c>
      <c r="O302" s="703" t="s">
        <v>254</v>
      </c>
      <c r="P302" s="692"/>
      <c r="Q302" s="173"/>
      <c r="R302" s="173"/>
      <c r="S302" s="173"/>
      <c r="T302" s="173"/>
      <c r="U302" s="173"/>
      <c r="V302" s="173"/>
      <c r="W302" s="173"/>
      <c r="X302" s="173"/>
      <c r="Y302" s="173"/>
      <c r="Z302" s="173"/>
      <c r="AA302" s="173"/>
      <c r="AB302" s="173"/>
      <c r="AC302" s="173"/>
      <c r="AD302" s="173"/>
      <c r="AE302" s="173"/>
      <c r="AF302" s="173"/>
      <c r="AG302" s="173"/>
      <c r="AH302" s="173"/>
      <c r="AI302" s="173"/>
      <c r="AJ302" s="173"/>
      <c r="AK302" s="173"/>
      <c r="AL302" s="173"/>
      <c r="AM302" s="173"/>
      <c r="AN302" s="173"/>
      <c r="AO302" s="173"/>
      <c r="AP302" s="173"/>
    </row>
    <row r="303" spans="1:42" ht="12.75" customHeight="1" thickBot="1">
      <c r="A303" s="1003"/>
      <c r="B303" s="708" t="s">
        <v>1224</v>
      </c>
      <c r="C303" s="709"/>
      <c r="D303" s="710"/>
      <c r="E303" s="711"/>
      <c r="F303" s="1002"/>
      <c r="G303" s="708" t="s">
        <v>1225</v>
      </c>
      <c r="H303" s="709"/>
      <c r="I303" s="710"/>
      <c r="J303" s="711"/>
      <c r="K303" s="1002"/>
      <c r="L303" s="708" t="s">
        <v>1226</v>
      </c>
      <c r="M303" s="709">
        <v>477</v>
      </c>
      <c r="N303" s="710" t="s">
        <v>254</v>
      </c>
      <c r="O303" s="711" t="s">
        <v>254</v>
      </c>
      <c r="P303" s="692"/>
      <c r="Q303" s="173"/>
      <c r="R303" s="173"/>
      <c r="S303" s="173"/>
      <c r="T303" s="173"/>
      <c r="U303" s="173"/>
      <c r="V303" s="173"/>
      <c r="W303" s="173"/>
      <c r="X303" s="173"/>
      <c r="Y303" s="173"/>
      <c r="Z303" s="173"/>
      <c r="AA303" s="173"/>
      <c r="AB303" s="173"/>
      <c r="AC303" s="173"/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</row>
    <row r="304" spans="1:42" ht="12.75" customHeight="1">
      <c r="A304" s="1001">
        <v>6</v>
      </c>
      <c r="B304" s="695" t="s">
        <v>1227</v>
      </c>
      <c r="C304" s="696"/>
      <c r="D304" s="697"/>
      <c r="E304" s="698"/>
      <c r="F304" s="1001">
        <v>6</v>
      </c>
      <c r="G304" s="695" t="s">
        <v>1228</v>
      </c>
      <c r="H304" s="696"/>
      <c r="I304" s="697"/>
      <c r="J304" s="698"/>
      <c r="K304" s="1001">
        <v>6</v>
      </c>
      <c r="L304" s="695" t="s">
        <v>1229</v>
      </c>
      <c r="M304" s="696">
        <v>241</v>
      </c>
      <c r="N304" s="697">
        <v>-0.2</v>
      </c>
      <c r="O304" s="698">
        <v>0.2</v>
      </c>
      <c r="P304" s="692"/>
      <c r="Q304" s="173"/>
      <c r="R304" s="173"/>
      <c r="S304" s="173"/>
      <c r="T304" s="173"/>
      <c r="U304" s="173"/>
      <c r="V304" s="173"/>
      <c r="W304" s="173"/>
      <c r="X304" s="173"/>
      <c r="Y304" s="173"/>
      <c r="Z304" s="173"/>
      <c r="AA304" s="173"/>
      <c r="AB304" s="173"/>
      <c r="AC304" s="173"/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</row>
    <row r="305" spans="1:42" ht="12.75" customHeight="1">
      <c r="A305" s="1002"/>
      <c r="B305" s="700" t="s">
        <v>1230</v>
      </c>
      <c r="C305" s="701"/>
      <c r="D305" s="702"/>
      <c r="E305" s="703"/>
      <c r="F305" s="1002"/>
      <c r="G305" s="700" t="s">
        <v>1231</v>
      </c>
      <c r="H305" s="701"/>
      <c r="I305" s="702"/>
      <c r="J305" s="703"/>
      <c r="K305" s="1002"/>
      <c r="L305" s="700" t="s">
        <v>1232</v>
      </c>
      <c r="M305" s="701">
        <v>241</v>
      </c>
      <c r="N305" s="702">
        <v>-0.3</v>
      </c>
      <c r="O305" s="703">
        <v>0.32</v>
      </c>
      <c r="P305" s="692"/>
      <c r="Q305" s="173"/>
      <c r="R305" s="173"/>
      <c r="S305" s="173"/>
      <c r="T305" s="173"/>
      <c r="U305" s="173"/>
      <c r="V305" s="173"/>
      <c r="W305" s="173"/>
      <c r="X305" s="173"/>
      <c r="Y305" s="173"/>
      <c r="Z305" s="173"/>
      <c r="AA305" s="173"/>
      <c r="AB305" s="173"/>
      <c r="AC305" s="173"/>
      <c r="AD305" s="173"/>
      <c r="AE305" s="173"/>
      <c r="AF305" s="173"/>
      <c r="AG305" s="173"/>
      <c r="AH305" s="173"/>
      <c r="AI305" s="173"/>
      <c r="AJ305" s="173"/>
      <c r="AK305" s="173"/>
      <c r="AL305" s="173"/>
      <c r="AM305" s="173"/>
      <c r="AN305" s="173"/>
      <c r="AO305" s="173"/>
      <c r="AP305" s="173"/>
    </row>
    <row r="306" spans="1:42" ht="12.75" customHeight="1" thickBot="1">
      <c r="A306" s="1003"/>
      <c r="B306" s="704" t="s">
        <v>1233</v>
      </c>
      <c r="C306" s="705"/>
      <c r="D306" s="706"/>
      <c r="E306" s="707"/>
      <c r="F306" s="1003"/>
      <c r="G306" s="704" t="s">
        <v>1234</v>
      </c>
      <c r="H306" s="705"/>
      <c r="I306" s="706"/>
      <c r="J306" s="707"/>
      <c r="K306" s="1003"/>
      <c r="L306" s="704" t="s">
        <v>1235</v>
      </c>
      <c r="M306" s="705">
        <v>256</v>
      </c>
      <c r="N306" s="706">
        <v>-0.1</v>
      </c>
      <c r="O306" s="707" t="s">
        <v>254</v>
      </c>
      <c r="P306" s="692"/>
      <c r="Q306" s="173"/>
      <c r="R306" s="173"/>
      <c r="S306" s="173"/>
      <c r="T306" s="173"/>
      <c r="U306" s="173"/>
      <c r="V306" s="173"/>
      <c r="W306" s="173"/>
      <c r="X306" s="173"/>
      <c r="Y306" s="173"/>
      <c r="Z306" s="173"/>
      <c r="AA306" s="173"/>
      <c r="AB306" s="173"/>
      <c r="AC306" s="173"/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</row>
    <row r="307" spans="1:42" ht="12.75" customHeight="1">
      <c r="A307" s="1001">
        <v>7</v>
      </c>
      <c r="B307" s="715" t="s">
        <v>1236</v>
      </c>
      <c r="C307" s="716"/>
      <c r="D307" s="717"/>
      <c r="E307" s="718"/>
      <c r="F307" s="1002">
        <v>7</v>
      </c>
      <c r="G307" s="715" t="s">
        <v>1237</v>
      </c>
      <c r="H307" s="716"/>
      <c r="I307" s="717"/>
      <c r="J307" s="718"/>
      <c r="K307" s="1002">
        <v>7</v>
      </c>
      <c r="L307" s="715" t="s">
        <v>1238</v>
      </c>
      <c r="M307" s="716">
        <v>548</v>
      </c>
      <c r="N307" s="717">
        <v>-0.1</v>
      </c>
      <c r="O307" s="718">
        <v>0.05</v>
      </c>
      <c r="P307" s="692"/>
      <c r="Q307" s="173"/>
      <c r="R307" s="173"/>
      <c r="S307" s="173"/>
      <c r="T307" s="173"/>
      <c r="U307" s="173"/>
      <c r="V307" s="173"/>
      <c r="W307" s="173"/>
      <c r="X307" s="173"/>
      <c r="Y307" s="173"/>
      <c r="Z307" s="173"/>
      <c r="AA307" s="173"/>
      <c r="AB307" s="173"/>
      <c r="AC307" s="173"/>
      <c r="AD307" s="173"/>
      <c r="AE307" s="173"/>
      <c r="AF307" s="173"/>
      <c r="AG307" s="173"/>
      <c r="AH307" s="173"/>
      <c r="AI307" s="173"/>
      <c r="AJ307" s="173"/>
      <c r="AK307" s="173"/>
      <c r="AL307" s="173"/>
      <c r="AM307" s="173"/>
      <c r="AN307" s="173"/>
      <c r="AO307" s="173"/>
      <c r="AP307" s="173"/>
    </row>
    <row r="308" spans="1:42" ht="12.75" customHeight="1">
      <c r="A308" s="1002"/>
      <c r="B308" s="700" t="s">
        <v>1239</v>
      </c>
      <c r="C308" s="701"/>
      <c r="D308" s="702"/>
      <c r="E308" s="703"/>
      <c r="F308" s="1002"/>
      <c r="G308" s="700" t="s">
        <v>1240</v>
      </c>
      <c r="H308" s="701"/>
      <c r="I308" s="702"/>
      <c r="J308" s="703"/>
      <c r="K308" s="1002"/>
      <c r="L308" s="700" t="s">
        <v>1241</v>
      </c>
      <c r="M308" s="701">
        <v>550</v>
      </c>
      <c r="N308" s="702">
        <v>-0.2</v>
      </c>
      <c r="O308" s="703">
        <v>0.08</v>
      </c>
      <c r="P308" s="692"/>
      <c r="Q308" s="173"/>
      <c r="R308" s="173"/>
      <c r="S308" s="173"/>
      <c r="T308" s="173"/>
      <c r="U308" s="173"/>
      <c r="V308" s="173"/>
      <c r="W308" s="173"/>
      <c r="X308" s="173"/>
      <c r="Y308" s="173"/>
      <c r="Z308" s="173"/>
      <c r="AA308" s="173"/>
      <c r="AB308" s="173"/>
      <c r="AC308" s="173"/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</row>
    <row r="309" spans="1:42" ht="12.75" customHeight="1" thickBot="1">
      <c r="A309" s="1003"/>
      <c r="B309" s="708" t="s">
        <v>1242</v>
      </c>
      <c r="C309" s="709"/>
      <c r="D309" s="710"/>
      <c r="E309" s="711"/>
      <c r="F309" s="1002"/>
      <c r="G309" s="708" t="s">
        <v>1243</v>
      </c>
      <c r="H309" s="709"/>
      <c r="I309" s="710"/>
      <c r="J309" s="711"/>
      <c r="K309" s="1002"/>
      <c r="L309" s="708" t="s">
        <v>1244</v>
      </c>
      <c r="M309" s="709">
        <v>558</v>
      </c>
      <c r="N309" s="710">
        <v>-0.1</v>
      </c>
      <c r="O309" s="711">
        <v>0.5</v>
      </c>
      <c r="P309" s="692"/>
      <c r="Q309" s="173"/>
      <c r="R309" s="173"/>
      <c r="S309" s="173"/>
      <c r="T309" s="173"/>
      <c r="U309" s="173"/>
      <c r="V309" s="173"/>
      <c r="W309" s="173"/>
      <c r="X309" s="173"/>
      <c r="Y309" s="173"/>
      <c r="Z309" s="173"/>
      <c r="AA309" s="173"/>
      <c r="AB309" s="173"/>
      <c r="AC309" s="173"/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</row>
    <row r="310" spans="1:42" ht="12.75" customHeight="1">
      <c r="A310" s="1001">
        <v>8</v>
      </c>
      <c r="B310" s="695" t="s">
        <v>1245</v>
      </c>
      <c r="C310" s="696"/>
      <c r="D310" s="697"/>
      <c r="E310" s="698"/>
      <c r="F310" s="1001">
        <v>8</v>
      </c>
      <c r="G310" s="695" t="s">
        <v>1246</v>
      </c>
      <c r="H310" s="696"/>
      <c r="I310" s="697"/>
      <c r="J310" s="698"/>
      <c r="K310" s="1001">
        <v>8</v>
      </c>
      <c r="L310" s="695" t="s">
        <v>1247</v>
      </c>
      <c r="M310" s="696">
        <v>408</v>
      </c>
      <c r="N310" s="697" t="s">
        <v>254</v>
      </c>
      <c r="O310" s="698" t="s">
        <v>254</v>
      </c>
      <c r="P310" s="692"/>
      <c r="Q310" s="173"/>
      <c r="R310" s="173"/>
      <c r="S310" s="173"/>
      <c r="T310" s="173"/>
      <c r="U310" s="173"/>
      <c r="V310" s="173"/>
      <c r="W310" s="173"/>
      <c r="X310" s="173"/>
      <c r="Y310" s="173"/>
      <c r="Z310" s="173"/>
      <c r="AA310" s="173"/>
      <c r="AB310" s="173"/>
      <c r="AC310" s="173"/>
      <c r="AD310" s="173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</row>
    <row r="311" spans="1:42" ht="12.75" customHeight="1">
      <c r="A311" s="1002"/>
      <c r="B311" s="700" t="s">
        <v>1248</v>
      </c>
      <c r="C311" s="701"/>
      <c r="D311" s="702"/>
      <c r="E311" s="703"/>
      <c r="F311" s="1002"/>
      <c r="G311" s="700" t="s">
        <v>1249</v>
      </c>
      <c r="H311" s="701"/>
      <c r="I311" s="702"/>
      <c r="J311" s="703"/>
      <c r="K311" s="1002"/>
      <c r="L311" s="700" t="s">
        <v>1250</v>
      </c>
      <c r="M311" s="701">
        <v>421</v>
      </c>
      <c r="N311" s="702" t="s">
        <v>254</v>
      </c>
      <c r="O311" s="703" t="s">
        <v>254</v>
      </c>
      <c r="P311" s="692"/>
      <c r="Q311" s="173"/>
      <c r="R311" s="173"/>
      <c r="S311" s="173"/>
      <c r="T311" s="173"/>
      <c r="U311" s="173"/>
      <c r="V311" s="173"/>
      <c r="W311" s="173"/>
      <c r="X311" s="173"/>
      <c r="Y311" s="173"/>
      <c r="Z311" s="173"/>
      <c r="AA311" s="173"/>
      <c r="AB311" s="173"/>
      <c r="AC311" s="173"/>
      <c r="AD311" s="173"/>
      <c r="AE311" s="173"/>
      <c r="AF311" s="173"/>
      <c r="AG311" s="173"/>
      <c r="AH311" s="173"/>
      <c r="AI311" s="173"/>
      <c r="AJ311" s="173"/>
      <c r="AK311" s="173"/>
      <c r="AL311" s="173"/>
      <c r="AM311" s="173"/>
      <c r="AN311" s="173"/>
      <c r="AO311" s="173"/>
      <c r="AP311" s="173"/>
    </row>
    <row r="312" spans="1:42" ht="12.75" customHeight="1" thickBot="1">
      <c r="A312" s="1003"/>
      <c r="B312" s="704" t="s">
        <v>1251</v>
      </c>
      <c r="C312" s="705"/>
      <c r="D312" s="706"/>
      <c r="E312" s="707"/>
      <c r="F312" s="1003"/>
      <c r="G312" s="704" t="s">
        <v>1252</v>
      </c>
      <c r="H312" s="705"/>
      <c r="I312" s="706"/>
      <c r="J312" s="707"/>
      <c r="K312" s="1003"/>
      <c r="L312" s="704" t="s">
        <v>1253</v>
      </c>
      <c r="M312" s="705" t="s">
        <v>134</v>
      </c>
      <c r="N312" s="706" t="s">
        <v>254</v>
      </c>
      <c r="O312" s="707" t="s">
        <v>254</v>
      </c>
      <c r="P312" s="692"/>
      <c r="Q312" s="173"/>
      <c r="R312" s="173"/>
      <c r="S312" s="173"/>
      <c r="T312" s="173"/>
      <c r="U312" s="173"/>
      <c r="V312" s="173"/>
      <c r="W312" s="173"/>
      <c r="X312" s="173"/>
      <c r="Y312" s="173"/>
      <c r="Z312" s="173"/>
      <c r="AA312" s="173"/>
      <c r="AB312" s="173"/>
      <c r="AC312" s="173"/>
      <c r="AD312" s="173"/>
      <c r="AE312" s="173"/>
      <c r="AF312" s="173"/>
      <c r="AG312" s="173"/>
      <c r="AH312" s="173"/>
      <c r="AI312" s="173"/>
      <c r="AJ312" s="173"/>
      <c r="AK312" s="173"/>
      <c r="AL312" s="173"/>
      <c r="AM312" s="173"/>
      <c r="AN312" s="173"/>
      <c r="AO312" s="173"/>
      <c r="AP312" s="173"/>
    </row>
    <row r="313" spans="1:42" ht="12.75" customHeight="1">
      <c r="A313" s="1001">
        <v>9</v>
      </c>
      <c r="B313" s="715" t="s">
        <v>1254</v>
      </c>
      <c r="C313" s="716"/>
      <c r="D313" s="717"/>
      <c r="E313" s="718"/>
      <c r="F313" s="1002">
        <v>9</v>
      </c>
      <c r="G313" s="715" t="s">
        <v>1255</v>
      </c>
      <c r="H313" s="716"/>
      <c r="I313" s="717"/>
      <c r="J313" s="718"/>
      <c r="K313" s="1002">
        <v>9</v>
      </c>
      <c r="L313" s="715" t="s">
        <v>1256</v>
      </c>
      <c r="M313" s="716">
        <v>347</v>
      </c>
      <c r="N313" s="717">
        <v>0</v>
      </c>
      <c r="O313" s="718">
        <v>0</v>
      </c>
      <c r="P313" s="692"/>
      <c r="Q313" s="173"/>
      <c r="R313" s="173"/>
      <c r="S313" s="173"/>
      <c r="T313" s="173"/>
      <c r="U313" s="173"/>
      <c r="V313" s="173"/>
      <c r="W313" s="173"/>
      <c r="X313" s="173"/>
      <c r="Y313" s="173"/>
      <c r="Z313" s="173"/>
      <c r="AA313" s="173"/>
      <c r="AB313" s="173"/>
      <c r="AC313" s="173"/>
      <c r="AD313" s="173"/>
      <c r="AE313" s="173"/>
      <c r="AF313" s="173"/>
      <c r="AG313" s="173"/>
      <c r="AH313" s="173"/>
      <c r="AI313" s="173"/>
      <c r="AJ313" s="173"/>
      <c r="AK313" s="173"/>
      <c r="AL313" s="173"/>
      <c r="AM313" s="173"/>
      <c r="AN313" s="173"/>
      <c r="AO313" s="173"/>
      <c r="AP313" s="173"/>
    </row>
    <row r="314" spans="1:42" ht="12.75" customHeight="1">
      <c r="A314" s="1002"/>
      <c r="B314" s="700" t="s">
        <v>1257</v>
      </c>
      <c r="C314" s="701"/>
      <c r="D314" s="702"/>
      <c r="E314" s="703"/>
      <c r="F314" s="1002"/>
      <c r="G314" s="700" t="s">
        <v>1258</v>
      </c>
      <c r="H314" s="701"/>
      <c r="I314" s="702"/>
      <c r="J314" s="703"/>
      <c r="K314" s="1002"/>
      <c r="L314" s="700" t="s">
        <v>1259</v>
      </c>
      <c r="M314" s="701">
        <v>357</v>
      </c>
      <c r="N314" s="702">
        <v>0</v>
      </c>
      <c r="O314" s="703">
        <v>0</v>
      </c>
      <c r="P314" s="692"/>
      <c r="Q314" s="173"/>
      <c r="R314" s="173"/>
      <c r="S314" s="173"/>
      <c r="T314" s="173"/>
      <c r="U314" s="173"/>
      <c r="V314" s="173"/>
      <c r="W314" s="173"/>
      <c r="X314" s="173"/>
      <c r="Y314" s="173"/>
      <c r="Z314" s="173"/>
      <c r="AA314" s="173"/>
      <c r="AB314" s="173"/>
      <c r="AC314" s="173"/>
      <c r="AD314" s="173"/>
      <c r="AE314" s="173"/>
      <c r="AF314" s="173"/>
      <c r="AG314" s="173"/>
      <c r="AH314" s="173"/>
      <c r="AI314" s="173"/>
      <c r="AJ314" s="173"/>
      <c r="AK314" s="173"/>
      <c r="AL314" s="173"/>
      <c r="AM314" s="173"/>
      <c r="AN314" s="173"/>
      <c r="AO314" s="173"/>
      <c r="AP314" s="173"/>
    </row>
    <row r="315" spans="1:42" ht="12.75" customHeight="1" thickBot="1">
      <c r="A315" s="1003"/>
      <c r="B315" s="708" t="s">
        <v>1260</v>
      </c>
      <c r="C315" s="709"/>
      <c r="D315" s="710"/>
      <c r="E315" s="711"/>
      <c r="F315" s="1002"/>
      <c r="G315" s="708" t="s">
        <v>1261</v>
      </c>
      <c r="H315" s="709"/>
      <c r="I315" s="710"/>
      <c r="J315" s="711"/>
      <c r="K315" s="1002"/>
      <c r="L315" s="708" t="s">
        <v>1262</v>
      </c>
      <c r="M315" s="709">
        <v>361</v>
      </c>
      <c r="N315" s="710">
        <v>0</v>
      </c>
      <c r="O315" s="711">
        <v>0</v>
      </c>
      <c r="P315" s="692"/>
      <c r="Q315" s="173"/>
      <c r="R315" s="173"/>
      <c r="S315" s="173"/>
      <c r="T315" s="173"/>
      <c r="U315" s="173"/>
      <c r="V315" s="173"/>
      <c r="W315" s="173"/>
      <c r="X315" s="173"/>
      <c r="Y315" s="173"/>
      <c r="Z315" s="173"/>
      <c r="AA315" s="173"/>
      <c r="AB315" s="173"/>
      <c r="AC315" s="173"/>
      <c r="AD315" s="173"/>
      <c r="AE315" s="173"/>
      <c r="AF315" s="173"/>
      <c r="AG315" s="173"/>
      <c r="AH315" s="173"/>
      <c r="AI315" s="173"/>
      <c r="AJ315" s="173"/>
      <c r="AK315" s="173"/>
      <c r="AL315" s="173"/>
      <c r="AM315" s="173"/>
      <c r="AN315" s="173"/>
      <c r="AO315" s="173"/>
      <c r="AP315" s="173"/>
    </row>
    <row r="316" spans="1:42" ht="12.75" customHeight="1">
      <c r="A316" s="1001">
        <v>10</v>
      </c>
      <c r="B316" s="695" t="s">
        <v>1263</v>
      </c>
      <c r="C316" s="696"/>
      <c r="D316" s="697"/>
      <c r="E316" s="698"/>
      <c r="F316" s="1001">
        <v>10</v>
      </c>
      <c r="G316" s="695" t="s">
        <v>1264</v>
      </c>
      <c r="H316" s="696"/>
      <c r="I316" s="697"/>
      <c r="J316" s="698"/>
      <c r="K316" s="1001">
        <v>10</v>
      </c>
      <c r="L316" s="695" t="s">
        <v>1265</v>
      </c>
      <c r="M316" s="696">
        <v>264</v>
      </c>
      <c r="N316" s="697" t="s">
        <v>254</v>
      </c>
      <c r="O316" s="698" t="s">
        <v>254</v>
      </c>
      <c r="P316" s="692"/>
      <c r="Q316" s="173"/>
      <c r="R316" s="173"/>
      <c r="S316" s="173"/>
      <c r="T316" s="173"/>
      <c r="U316" s="173"/>
      <c r="V316" s="173"/>
      <c r="W316" s="173"/>
      <c r="X316" s="173"/>
      <c r="Y316" s="173"/>
      <c r="Z316" s="173"/>
      <c r="AA316" s="173"/>
      <c r="AB316" s="173"/>
      <c r="AC316" s="173"/>
      <c r="AD316" s="173"/>
      <c r="AE316" s="173"/>
      <c r="AF316" s="173"/>
      <c r="AG316" s="173"/>
      <c r="AH316" s="173"/>
      <c r="AI316" s="173"/>
      <c r="AJ316" s="173"/>
      <c r="AK316" s="173"/>
      <c r="AL316" s="173"/>
      <c r="AM316" s="173"/>
      <c r="AN316" s="173"/>
      <c r="AO316" s="173"/>
      <c r="AP316" s="173"/>
    </row>
    <row r="317" spans="1:42" ht="12.75" customHeight="1">
      <c r="A317" s="1002"/>
      <c r="B317" s="700" t="s">
        <v>1266</v>
      </c>
      <c r="C317" s="701"/>
      <c r="D317" s="702"/>
      <c r="E317" s="703"/>
      <c r="F317" s="1002"/>
      <c r="G317" s="700" t="s">
        <v>1267</v>
      </c>
      <c r="H317" s="701"/>
      <c r="I317" s="702"/>
      <c r="J317" s="703"/>
      <c r="K317" s="1002"/>
      <c r="L317" s="700" t="s">
        <v>1268</v>
      </c>
      <c r="M317" s="701">
        <v>280</v>
      </c>
      <c r="N317" s="702" t="s">
        <v>254</v>
      </c>
      <c r="O317" s="703" t="s">
        <v>254</v>
      </c>
      <c r="P317" s="692"/>
      <c r="Q317" s="173"/>
      <c r="R317" s="173"/>
      <c r="S317" s="173"/>
      <c r="T317" s="173"/>
      <c r="U317" s="173"/>
      <c r="V317" s="173"/>
      <c r="W317" s="173"/>
      <c r="X317" s="173"/>
      <c r="Y317" s="173"/>
      <c r="Z317" s="173"/>
      <c r="AA317" s="173"/>
      <c r="AB317" s="173"/>
      <c r="AC317" s="173"/>
      <c r="AD317" s="173"/>
      <c r="AE317" s="173"/>
      <c r="AF317" s="173"/>
      <c r="AG317" s="173"/>
      <c r="AH317" s="173"/>
      <c r="AI317" s="173"/>
      <c r="AJ317" s="173"/>
      <c r="AK317" s="173"/>
      <c r="AL317" s="173"/>
      <c r="AM317" s="173"/>
      <c r="AN317" s="173"/>
      <c r="AO317" s="173"/>
      <c r="AP317" s="173"/>
    </row>
    <row r="318" spans="1:42" ht="12.75" customHeight="1" thickBot="1">
      <c r="A318" s="1003"/>
      <c r="B318" s="704" t="s">
        <v>1269</v>
      </c>
      <c r="C318" s="705"/>
      <c r="D318" s="706"/>
      <c r="E318" s="707"/>
      <c r="F318" s="1003"/>
      <c r="G318" s="704" t="s">
        <v>1270</v>
      </c>
      <c r="H318" s="705"/>
      <c r="I318" s="706"/>
      <c r="J318" s="707"/>
      <c r="K318" s="1003"/>
      <c r="L318" s="704" t="s">
        <v>1271</v>
      </c>
      <c r="M318" s="705">
        <v>287</v>
      </c>
      <c r="N318" s="706" t="s">
        <v>254</v>
      </c>
      <c r="O318" s="707" t="s">
        <v>254</v>
      </c>
      <c r="P318" s="692"/>
      <c r="Q318" s="173"/>
      <c r="R318" s="173"/>
      <c r="S318" s="173"/>
      <c r="T318" s="173"/>
      <c r="U318" s="173"/>
      <c r="V318" s="173"/>
      <c r="W318" s="173"/>
      <c r="X318" s="173"/>
      <c r="Y318" s="173"/>
      <c r="Z318" s="173"/>
      <c r="AA318" s="173"/>
      <c r="AB318" s="173"/>
      <c r="AC318" s="173"/>
      <c r="AD318" s="173"/>
      <c r="AE318" s="173"/>
      <c r="AF318" s="173"/>
      <c r="AG318" s="173"/>
      <c r="AH318" s="173"/>
      <c r="AI318" s="173"/>
      <c r="AJ318" s="173"/>
      <c r="AK318" s="173"/>
      <c r="AL318" s="173"/>
      <c r="AM318" s="173"/>
      <c r="AN318" s="173"/>
      <c r="AO318" s="173"/>
      <c r="AP318" s="173"/>
    </row>
    <row r="319" spans="1:42" ht="12.75" customHeight="1">
      <c r="A319" s="1001">
        <v>11</v>
      </c>
      <c r="B319" s="715" t="s">
        <v>1272</v>
      </c>
      <c r="C319" s="716"/>
      <c r="D319" s="717"/>
      <c r="E319" s="718"/>
      <c r="F319" s="1002">
        <v>11</v>
      </c>
      <c r="G319" s="715" t="s">
        <v>1273</v>
      </c>
      <c r="H319" s="716"/>
      <c r="I319" s="717"/>
      <c r="J319" s="718"/>
      <c r="K319" s="1002">
        <v>11</v>
      </c>
      <c r="L319" s="715" t="s">
        <v>1274</v>
      </c>
      <c r="M319" s="716">
        <v>431</v>
      </c>
      <c r="N319" s="717">
        <v>0.2</v>
      </c>
      <c r="O319" s="718">
        <v>-0.17</v>
      </c>
      <c r="P319" s="692"/>
      <c r="Q319" s="173"/>
      <c r="R319" s="173"/>
      <c r="S319" s="173"/>
      <c r="T319" s="173"/>
      <c r="U319" s="173"/>
      <c r="V319" s="173"/>
      <c r="W319" s="173"/>
      <c r="X319" s="173"/>
      <c r="Y319" s="173"/>
      <c r="Z319" s="173"/>
      <c r="AA319" s="173"/>
      <c r="AB319" s="173"/>
      <c r="AC319" s="173"/>
      <c r="AD319" s="173"/>
      <c r="AE319" s="173"/>
      <c r="AF319" s="173"/>
      <c r="AG319" s="173"/>
      <c r="AH319" s="173"/>
      <c r="AI319" s="173"/>
      <c r="AJ319" s="173"/>
      <c r="AK319" s="173"/>
      <c r="AL319" s="173"/>
      <c r="AM319" s="173"/>
      <c r="AN319" s="173"/>
      <c r="AO319" s="173"/>
      <c r="AP319" s="173"/>
    </row>
    <row r="320" spans="1:42" ht="12.75" customHeight="1">
      <c r="A320" s="1002"/>
      <c r="B320" s="700" t="s">
        <v>1275</v>
      </c>
      <c r="C320" s="701"/>
      <c r="D320" s="702"/>
      <c r="E320" s="703"/>
      <c r="F320" s="1002"/>
      <c r="G320" s="700" t="s">
        <v>1276</v>
      </c>
      <c r="H320" s="701"/>
      <c r="I320" s="702"/>
      <c r="J320" s="703"/>
      <c r="K320" s="1002"/>
      <c r="L320" s="700" t="s">
        <v>1277</v>
      </c>
      <c r="M320" s="701">
        <v>438</v>
      </c>
      <c r="N320" s="702">
        <v>0.1</v>
      </c>
      <c r="O320" s="703">
        <v>-0.4</v>
      </c>
      <c r="P320" s="692"/>
      <c r="Q320" s="173"/>
      <c r="R320" s="173"/>
      <c r="S320" s="173"/>
      <c r="T320" s="173"/>
      <c r="U320" s="173"/>
      <c r="V320" s="173"/>
      <c r="W320" s="173"/>
      <c r="X320" s="173"/>
      <c r="Y320" s="173"/>
      <c r="Z320" s="173"/>
      <c r="AA320" s="173"/>
      <c r="AB320" s="173"/>
      <c r="AC320" s="173"/>
      <c r="AD320" s="173"/>
      <c r="AE320" s="173"/>
      <c r="AF320" s="173"/>
      <c r="AG320" s="173"/>
      <c r="AH320" s="173"/>
      <c r="AI320" s="173"/>
      <c r="AJ320" s="173"/>
      <c r="AK320" s="173"/>
      <c r="AL320" s="173"/>
      <c r="AM320" s="173"/>
      <c r="AN320" s="173"/>
      <c r="AO320" s="173"/>
      <c r="AP320" s="173"/>
    </row>
    <row r="321" spans="1:42" ht="12.75" customHeight="1" thickBot="1">
      <c r="A321" s="1003"/>
      <c r="B321" s="708" t="s">
        <v>1278</v>
      </c>
      <c r="C321" s="709"/>
      <c r="D321" s="710"/>
      <c r="E321" s="711"/>
      <c r="F321" s="1002"/>
      <c r="G321" s="708" t="s">
        <v>1279</v>
      </c>
      <c r="H321" s="709"/>
      <c r="I321" s="710"/>
      <c r="J321" s="711"/>
      <c r="K321" s="1002"/>
      <c r="L321" s="708" t="s">
        <v>1280</v>
      </c>
      <c r="M321" s="709">
        <v>444</v>
      </c>
      <c r="N321" s="710">
        <v>0.2</v>
      </c>
      <c r="O321" s="711">
        <v>-0.2</v>
      </c>
      <c r="P321" s="692"/>
      <c r="Q321" s="173"/>
      <c r="R321" s="173"/>
      <c r="S321" s="173"/>
      <c r="T321" s="173"/>
      <c r="U321" s="173"/>
      <c r="V321" s="173"/>
      <c r="W321" s="173"/>
      <c r="X321" s="173"/>
      <c r="Y321" s="173"/>
      <c r="Z321" s="173"/>
      <c r="AA321" s="173"/>
      <c r="AB321" s="173"/>
      <c r="AC321" s="173"/>
      <c r="AD321" s="173"/>
      <c r="AE321" s="173"/>
      <c r="AF321" s="173"/>
      <c r="AG321" s="173"/>
      <c r="AH321" s="173"/>
      <c r="AI321" s="173"/>
      <c r="AJ321" s="173"/>
      <c r="AK321" s="173"/>
      <c r="AL321" s="173"/>
      <c r="AM321" s="173"/>
      <c r="AN321" s="173"/>
      <c r="AO321" s="173"/>
      <c r="AP321" s="173"/>
    </row>
    <row r="322" spans="1:42" ht="12.75" customHeight="1">
      <c r="A322" s="1001">
        <v>12</v>
      </c>
      <c r="B322" s="695" t="s">
        <v>1281</v>
      </c>
      <c r="C322" s="696"/>
      <c r="D322" s="697"/>
      <c r="E322" s="698"/>
      <c r="F322" s="1001">
        <v>12</v>
      </c>
      <c r="G322" s="695" t="s">
        <v>1282</v>
      </c>
      <c r="H322" s="696"/>
      <c r="I322" s="697"/>
      <c r="J322" s="698"/>
      <c r="K322" s="1001">
        <v>12</v>
      </c>
      <c r="L322" s="695" t="s">
        <v>1283</v>
      </c>
      <c r="M322" s="696">
        <v>518</v>
      </c>
      <c r="N322" s="697" t="s">
        <v>254</v>
      </c>
      <c r="O322" s="698" t="s">
        <v>254</v>
      </c>
      <c r="P322" s="692"/>
      <c r="Q322" s="173"/>
      <c r="R322" s="173"/>
      <c r="S322" s="173"/>
      <c r="T322" s="173"/>
      <c r="U322" s="173"/>
      <c r="V322" s="173"/>
      <c r="W322" s="173"/>
      <c r="X322" s="173"/>
      <c r="Y322" s="173"/>
      <c r="Z322" s="173"/>
      <c r="AA322" s="173"/>
      <c r="AB322" s="173"/>
      <c r="AC322" s="173"/>
      <c r="AD322" s="173"/>
      <c r="AE322" s="173"/>
      <c r="AF322" s="173"/>
      <c r="AG322" s="173"/>
      <c r="AH322" s="173"/>
      <c r="AI322" s="173"/>
      <c r="AJ322" s="173"/>
      <c r="AK322" s="173"/>
      <c r="AL322" s="173"/>
      <c r="AM322" s="173"/>
      <c r="AN322" s="173"/>
      <c r="AO322" s="173"/>
      <c r="AP322" s="173"/>
    </row>
    <row r="323" spans="1:42" ht="12.75" customHeight="1">
      <c r="A323" s="1002"/>
      <c r="B323" s="700" t="s">
        <v>1284</v>
      </c>
      <c r="C323" s="701"/>
      <c r="D323" s="702"/>
      <c r="E323" s="703"/>
      <c r="F323" s="1002"/>
      <c r="G323" s="700" t="s">
        <v>1285</v>
      </c>
      <c r="H323" s="701"/>
      <c r="I323" s="702"/>
      <c r="J323" s="703"/>
      <c r="K323" s="1002"/>
      <c r="L323" s="700" t="s">
        <v>1286</v>
      </c>
      <c r="M323" s="701">
        <v>539</v>
      </c>
      <c r="N323" s="702" t="s">
        <v>254</v>
      </c>
      <c r="O323" s="703" t="s">
        <v>254</v>
      </c>
      <c r="P323" s="692"/>
      <c r="Q323" s="173"/>
      <c r="R323" s="173"/>
      <c r="S323" s="173"/>
      <c r="T323" s="173"/>
      <c r="U323" s="173"/>
      <c r="V323" s="173"/>
      <c r="W323" s="173"/>
      <c r="X323" s="173"/>
      <c r="Y323" s="173"/>
      <c r="Z323" s="173"/>
      <c r="AA323" s="173"/>
      <c r="AB323" s="173"/>
      <c r="AC323" s="173"/>
      <c r="AD323" s="173"/>
      <c r="AE323" s="173"/>
      <c r="AF323" s="173"/>
      <c r="AG323" s="173"/>
      <c r="AH323" s="173"/>
      <c r="AI323" s="173"/>
      <c r="AJ323" s="173"/>
      <c r="AK323" s="173"/>
      <c r="AL323" s="173"/>
      <c r="AM323" s="173"/>
      <c r="AN323" s="173"/>
      <c r="AO323" s="173"/>
      <c r="AP323" s="173"/>
    </row>
    <row r="324" spans="1:42" ht="12.75" customHeight="1" thickBot="1">
      <c r="A324" s="1003"/>
      <c r="B324" s="704" t="s">
        <v>1287</v>
      </c>
      <c r="C324" s="705"/>
      <c r="D324" s="706"/>
      <c r="E324" s="707"/>
      <c r="F324" s="1003"/>
      <c r="G324" s="704" t="s">
        <v>1288</v>
      </c>
      <c r="H324" s="705"/>
      <c r="I324" s="706"/>
      <c r="J324" s="707"/>
      <c r="K324" s="1003"/>
      <c r="L324" s="704" t="s">
        <v>1289</v>
      </c>
      <c r="M324" s="705" t="s">
        <v>134</v>
      </c>
      <c r="N324" s="706" t="s">
        <v>254</v>
      </c>
      <c r="O324" s="707" t="s">
        <v>254</v>
      </c>
      <c r="P324" s="692"/>
      <c r="Q324" s="173"/>
      <c r="R324" s="173"/>
      <c r="S324" s="173"/>
      <c r="T324" s="173"/>
      <c r="U324" s="173"/>
      <c r="V324" s="173"/>
      <c r="W324" s="173"/>
      <c r="X324" s="173"/>
      <c r="Y324" s="173"/>
      <c r="Z324" s="173"/>
      <c r="AA324" s="173"/>
      <c r="AB324" s="173"/>
      <c r="AC324" s="173"/>
      <c r="AD324" s="173"/>
      <c r="AE324" s="173"/>
      <c r="AF324" s="173"/>
      <c r="AG324" s="173"/>
      <c r="AH324" s="173"/>
      <c r="AI324" s="173"/>
      <c r="AJ324" s="173"/>
      <c r="AK324" s="173"/>
      <c r="AL324" s="173"/>
      <c r="AM324" s="173"/>
      <c r="AN324" s="173"/>
      <c r="AO324" s="173"/>
      <c r="AP324" s="173"/>
    </row>
    <row r="325" spans="1:42" ht="12.75" customHeight="1">
      <c r="A325" s="1001">
        <v>13</v>
      </c>
      <c r="B325" s="715" t="s">
        <v>1290</v>
      </c>
      <c r="C325" s="716"/>
      <c r="D325" s="717"/>
      <c r="E325" s="718"/>
      <c r="F325" s="1002">
        <v>13</v>
      </c>
      <c r="G325" s="715" t="s">
        <v>1291</v>
      </c>
      <c r="H325" s="716"/>
      <c r="I325" s="717"/>
      <c r="J325" s="718"/>
      <c r="K325" s="1002">
        <v>13</v>
      </c>
      <c r="L325" s="715" t="s">
        <v>1292</v>
      </c>
      <c r="M325" s="716">
        <v>223</v>
      </c>
      <c r="N325" s="717" t="s">
        <v>254</v>
      </c>
      <c r="O325" s="718" t="s">
        <v>254</v>
      </c>
      <c r="P325" s="692"/>
      <c r="Q325" s="173"/>
      <c r="R325" s="173"/>
      <c r="S325" s="173"/>
      <c r="T325" s="173"/>
      <c r="U325" s="173"/>
      <c r="V325" s="173"/>
      <c r="W325" s="173"/>
      <c r="X325" s="173"/>
      <c r="Y325" s="173"/>
      <c r="Z325" s="173"/>
      <c r="AA325" s="173"/>
      <c r="AB325" s="173"/>
      <c r="AC325" s="173"/>
      <c r="AD325" s="173"/>
      <c r="AE325" s="173"/>
      <c r="AF325" s="173"/>
      <c r="AG325" s="173"/>
      <c r="AH325" s="173"/>
      <c r="AI325" s="173"/>
      <c r="AJ325" s="173"/>
      <c r="AK325" s="173"/>
      <c r="AL325" s="173"/>
      <c r="AM325" s="173"/>
      <c r="AN325" s="173"/>
      <c r="AO325" s="173"/>
      <c r="AP325" s="173"/>
    </row>
    <row r="326" spans="1:42" ht="12.75" customHeight="1">
      <c r="A326" s="1002"/>
      <c r="B326" s="700" t="s">
        <v>1293</v>
      </c>
      <c r="C326" s="701"/>
      <c r="D326" s="702"/>
      <c r="E326" s="703"/>
      <c r="F326" s="1002"/>
      <c r="G326" s="700" t="s">
        <v>1294</v>
      </c>
      <c r="H326" s="701"/>
      <c r="I326" s="702"/>
      <c r="J326" s="703"/>
      <c r="K326" s="1002"/>
      <c r="L326" s="700" t="s">
        <v>1295</v>
      </c>
      <c r="M326" s="701">
        <v>242</v>
      </c>
      <c r="N326" s="702" t="s">
        <v>254</v>
      </c>
      <c r="O326" s="703" t="s">
        <v>254</v>
      </c>
      <c r="P326" s="692"/>
      <c r="Q326" s="173"/>
      <c r="R326" s="173"/>
      <c r="S326" s="173"/>
      <c r="T326" s="173"/>
      <c r="U326" s="173"/>
      <c r="V326" s="173"/>
      <c r="W326" s="173"/>
      <c r="X326" s="173"/>
      <c r="Y326" s="173"/>
      <c r="Z326" s="173"/>
      <c r="AA326" s="173"/>
      <c r="AB326" s="173"/>
      <c r="AC326" s="173"/>
      <c r="AD326" s="173"/>
      <c r="AE326" s="173"/>
      <c r="AF326" s="173"/>
      <c r="AG326" s="173"/>
      <c r="AH326" s="173"/>
      <c r="AI326" s="173"/>
      <c r="AJ326" s="173"/>
      <c r="AK326" s="173"/>
      <c r="AL326" s="173"/>
      <c r="AM326" s="173"/>
      <c r="AN326" s="173"/>
      <c r="AO326" s="173"/>
      <c r="AP326" s="173"/>
    </row>
    <row r="327" spans="1:42" ht="12.75" customHeight="1" thickBot="1">
      <c r="A327" s="1003"/>
      <c r="B327" s="708" t="s">
        <v>1296</v>
      </c>
      <c r="C327" s="709"/>
      <c r="D327" s="710"/>
      <c r="E327" s="711"/>
      <c r="F327" s="1002"/>
      <c r="G327" s="708" t="s">
        <v>1297</v>
      </c>
      <c r="H327" s="709"/>
      <c r="I327" s="710"/>
      <c r="J327" s="711"/>
      <c r="K327" s="1002"/>
      <c r="L327" s="708" t="s">
        <v>1298</v>
      </c>
      <c r="M327" s="709">
        <v>248</v>
      </c>
      <c r="N327" s="710" t="s">
        <v>254</v>
      </c>
      <c r="O327" s="711" t="s">
        <v>254</v>
      </c>
      <c r="P327" s="692"/>
      <c r="Q327" s="173"/>
      <c r="R327" s="173"/>
      <c r="S327" s="173"/>
      <c r="T327" s="173"/>
      <c r="U327" s="173"/>
      <c r="V327" s="173"/>
      <c r="W327" s="173"/>
      <c r="X327" s="173"/>
      <c r="Y327" s="173"/>
      <c r="Z327" s="173"/>
      <c r="AA327" s="173"/>
      <c r="AB327" s="173"/>
      <c r="AC327" s="173"/>
      <c r="AD327" s="173"/>
      <c r="AE327" s="173"/>
      <c r="AF327" s="173"/>
      <c r="AG327" s="173"/>
      <c r="AH327" s="173"/>
      <c r="AI327" s="173"/>
      <c r="AJ327" s="173"/>
      <c r="AK327" s="173"/>
      <c r="AL327" s="173"/>
      <c r="AM327" s="173"/>
      <c r="AN327" s="173"/>
      <c r="AO327" s="173"/>
      <c r="AP327" s="173"/>
    </row>
    <row r="328" spans="1:42" ht="12.75" customHeight="1">
      <c r="A328" s="1001">
        <v>14</v>
      </c>
      <c r="B328" s="695" t="s">
        <v>1299</v>
      </c>
      <c r="C328" s="696"/>
      <c r="D328" s="697"/>
      <c r="E328" s="698"/>
      <c r="F328" s="1001">
        <v>14</v>
      </c>
      <c r="G328" s="695" t="s">
        <v>1300</v>
      </c>
      <c r="H328" s="696"/>
      <c r="I328" s="697"/>
      <c r="J328" s="698"/>
      <c r="K328" s="1001">
        <v>14</v>
      </c>
      <c r="L328" s="695" t="s">
        <v>1301</v>
      </c>
      <c r="M328" s="696">
        <v>436</v>
      </c>
      <c r="N328" s="697" t="s">
        <v>254</v>
      </c>
      <c r="O328" s="698" t="s">
        <v>254</v>
      </c>
      <c r="P328" s="692"/>
      <c r="Q328" s="173"/>
      <c r="R328" s="173"/>
      <c r="S328" s="173"/>
      <c r="T328" s="173"/>
      <c r="U328" s="173"/>
      <c r="V328" s="173"/>
      <c r="W328" s="173"/>
      <c r="X328" s="173"/>
      <c r="Y328" s="173"/>
      <c r="Z328" s="173"/>
      <c r="AA328" s="173"/>
      <c r="AB328" s="173"/>
      <c r="AC328" s="173"/>
      <c r="AD328" s="173"/>
      <c r="AE328" s="173"/>
      <c r="AF328" s="173"/>
      <c r="AG328" s="173"/>
      <c r="AH328" s="173"/>
      <c r="AI328" s="173"/>
      <c r="AJ328" s="173"/>
      <c r="AK328" s="173"/>
      <c r="AL328" s="173"/>
      <c r="AM328" s="173"/>
      <c r="AN328" s="173"/>
      <c r="AO328" s="173"/>
      <c r="AP328" s="173"/>
    </row>
    <row r="329" spans="1:42" ht="12.75" customHeight="1">
      <c r="A329" s="1002"/>
      <c r="B329" s="700" t="s">
        <v>1302</v>
      </c>
      <c r="C329" s="701"/>
      <c r="D329" s="702"/>
      <c r="E329" s="703"/>
      <c r="F329" s="1002"/>
      <c r="G329" s="700" t="s">
        <v>1303</v>
      </c>
      <c r="H329" s="701"/>
      <c r="I329" s="702"/>
      <c r="J329" s="703"/>
      <c r="K329" s="1002"/>
      <c r="L329" s="700" t="s">
        <v>1304</v>
      </c>
      <c r="M329" s="701">
        <v>438</v>
      </c>
      <c r="N329" s="702" t="s">
        <v>254</v>
      </c>
      <c r="O329" s="703" t="s">
        <v>254</v>
      </c>
      <c r="P329" s="692"/>
      <c r="Q329" s="173"/>
      <c r="R329" s="173"/>
      <c r="S329" s="173"/>
      <c r="T329" s="173"/>
      <c r="U329" s="173"/>
      <c r="V329" s="173"/>
      <c r="W329" s="173"/>
      <c r="X329" s="173"/>
      <c r="Y329" s="173"/>
      <c r="Z329" s="173"/>
      <c r="AA329" s="173"/>
      <c r="AB329" s="173"/>
      <c r="AC329" s="173"/>
      <c r="AD329" s="173"/>
      <c r="AE329" s="173"/>
      <c r="AF329" s="173"/>
      <c r="AG329" s="173"/>
      <c r="AH329" s="173"/>
      <c r="AI329" s="173"/>
      <c r="AJ329" s="173"/>
      <c r="AK329" s="173"/>
      <c r="AL329" s="173"/>
      <c r="AM329" s="173"/>
      <c r="AN329" s="173"/>
      <c r="AO329" s="173"/>
      <c r="AP329" s="173"/>
    </row>
    <row r="330" spans="1:42" ht="12.75" customHeight="1" thickBot="1">
      <c r="A330" s="1003"/>
      <c r="B330" s="704" t="s">
        <v>1305</v>
      </c>
      <c r="C330" s="705"/>
      <c r="D330" s="706"/>
      <c r="E330" s="707"/>
      <c r="F330" s="1003"/>
      <c r="G330" s="704" t="s">
        <v>1306</v>
      </c>
      <c r="H330" s="705"/>
      <c r="I330" s="706"/>
      <c r="J330" s="707"/>
      <c r="K330" s="1003"/>
      <c r="L330" s="704" t="s">
        <v>1307</v>
      </c>
      <c r="M330" s="705">
        <v>453</v>
      </c>
      <c r="N330" s="706" t="s">
        <v>254</v>
      </c>
      <c r="O330" s="707" t="s">
        <v>254</v>
      </c>
      <c r="P330" s="692"/>
      <c r="Q330" s="173"/>
      <c r="R330" s="173"/>
      <c r="S330" s="173"/>
      <c r="T330" s="173"/>
      <c r="U330" s="173"/>
      <c r="V330" s="173"/>
      <c r="W330" s="173"/>
      <c r="X330" s="173"/>
      <c r="Y330" s="173"/>
      <c r="Z330" s="173"/>
      <c r="AA330" s="173"/>
      <c r="AB330" s="173"/>
      <c r="AC330" s="173"/>
      <c r="AD330" s="173"/>
      <c r="AE330" s="173"/>
      <c r="AF330" s="173"/>
      <c r="AG330" s="173"/>
      <c r="AH330" s="173"/>
      <c r="AI330" s="173"/>
      <c r="AJ330" s="173"/>
      <c r="AK330" s="173"/>
      <c r="AL330" s="173"/>
      <c r="AM330" s="173"/>
      <c r="AN330" s="173"/>
      <c r="AO330" s="173"/>
      <c r="AP330" s="173"/>
    </row>
    <row r="331" spans="1:42" ht="12.75" customHeight="1">
      <c r="A331" s="1001">
        <v>15</v>
      </c>
      <c r="B331" s="715" t="s">
        <v>1308</v>
      </c>
      <c r="C331" s="716"/>
      <c r="D331" s="717"/>
      <c r="E331" s="718"/>
      <c r="F331" s="1002">
        <v>15</v>
      </c>
      <c r="G331" s="715" t="s">
        <v>1309</v>
      </c>
      <c r="H331" s="716"/>
      <c r="I331" s="717"/>
      <c r="J331" s="718"/>
      <c r="K331" s="1002">
        <v>15</v>
      </c>
      <c r="L331" s="715" t="s">
        <v>1310</v>
      </c>
      <c r="M331" s="716">
        <v>548</v>
      </c>
      <c r="N331" s="717">
        <v>0</v>
      </c>
      <c r="O331" s="718">
        <v>0</v>
      </c>
      <c r="P331" s="692"/>
      <c r="Q331" s="173"/>
      <c r="R331" s="173"/>
      <c r="S331" s="173"/>
      <c r="T331" s="173"/>
      <c r="U331" s="173"/>
      <c r="V331" s="173"/>
      <c r="W331" s="173"/>
      <c r="X331" s="173"/>
      <c r="Y331" s="173"/>
      <c r="Z331" s="173"/>
      <c r="AA331" s="173"/>
      <c r="AB331" s="173"/>
      <c r="AC331" s="173"/>
      <c r="AD331" s="173"/>
      <c r="AE331" s="173"/>
      <c r="AF331" s="173"/>
      <c r="AG331" s="173"/>
      <c r="AH331" s="173"/>
      <c r="AI331" s="173"/>
      <c r="AJ331" s="173"/>
      <c r="AK331" s="173"/>
      <c r="AL331" s="173"/>
      <c r="AM331" s="173"/>
      <c r="AN331" s="173"/>
      <c r="AO331" s="173"/>
      <c r="AP331" s="173"/>
    </row>
    <row r="332" spans="1:42" ht="12.75" customHeight="1">
      <c r="A332" s="1002"/>
      <c r="B332" s="700" t="s">
        <v>1311</v>
      </c>
      <c r="C332" s="701"/>
      <c r="D332" s="702"/>
      <c r="E332" s="703"/>
      <c r="F332" s="1002"/>
      <c r="G332" s="700" t="s">
        <v>1312</v>
      </c>
      <c r="H332" s="701"/>
      <c r="I332" s="702"/>
      <c r="J332" s="703"/>
      <c r="K332" s="1002"/>
      <c r="L332" s="700" t="s">
        <v>1313</v>
      </c>
      <c r="M332" s="701">
        <v>551</v>
      </c>
      <c r="N332" s="702">
        <v>-0.1</v>
      </c>
      <c r="O332" s="703">
        <v>0.1</v>
      </c>
      <c r="P332" s="692"/>
      <c r="Q332" s="173"/>
      <c r="R332" s="173"/>
      <c r="S332" s="173"/>
      <c r="T332" s="173"/>
      <c r="U332" s="173"/>
      <c r="V332" s="173"/>
      <c r="W332" s="173"/>
      <c r="X332" s="173"/>
      <c r="Y332" s="173"/>
      <c r="Z332" s="173"/>
      <c r="AA332" s="173"/>
      <c r="AB332" s="173"/>
      <c r="AC332" s="173"/>
      <c r="AD332" s="173"/>
      <c r="AE332" s="173"/>
      <c r="AF332" s="173"/>
      <c r="AG332" s="173"/>
      <c r="AH332" s="173"/>
      <c r="AI332" s="173"/>
      <c r="AJ332" s="173"/>
      <c r="AK332" s="173"/>
      <c r="AL332" s="173"/>
      <c r="AM332" s="173"/>
      <c r="AN332" s="173"/>
      <c r="AO332" s="173"/>
      <c r="AP332" s="173"/>
    </row>
    <row r="333" spans="1:42" ht="12.75" customHeight="1" thickBot="1">
      <c r="A333" s="1003"/>
      <c r="B333" s="708" t="s">
        <v>1314</v>
      </c>
      <c r="C333" s="709"/>
      <c r="D333" s="710"/>
      <c r="E333" s="711"/>
      <c r="F333" s="1002"/>
      <c r="G333" s="708" t="s">
        <v>1315</v>
      </c>
      <c r="H333" s="709"/>
      <c r="I333" s="710"/>
      <c r="J333" s="711"/>
      <c r="K333" s="1002"/>
      <c r="L333" s="708" t="s">
        <v>1316</v>
      </c>
      <c r="M333" s="709">
        <v>561</v>
      </c>
      <c r="N333" s="710">
        <v>0</v>
      </c>
      <c r="O333" s="711">
        <v>0</v>
      </c>
      <c r="P333" s="692"/>
      <c r="Q333" s="173"/>
      <c r="R333" s="173"/>
      <c r="S333" s="173"/>
      <c r="T333" s="173"/>
      <c r="U333" s="173"/>
      <c r="V333" s="173"/>
      <c r="W333" s="173"/>
      <c r="X333" s="173"/>
      <c r="Y333" s="173"/>
      <c r="Z333" s="173"/>
      <c r="AA333" s="173"/>
      <c r="AB333" s="173"/>
      <c r="AC333" s="173"/>
      <c r="AD333" s="173"/>
      <c r="AE333" s="173"/>
      <c r="AF333" s="173"/>
      <c r="AG333" s="173"/>
      <c r="AH333" s="173"/>
      <c r="AI333" s="173"/>
      <c r="AJ333" s="173"/>
      <c r="AK333" s="173"/>
      <c r="AL333" s="173"/>
      <c r="AM333" s="173"/>
      <c r="AN333" s="173"/>
      <c r="AO333" s="173"/>
      <c r="AP333" s="173"/>
    </row>
    <row r="334" spans="1:42" ht="12.75" customHeight="1">
      <c r="A334" s="1001">
        <v>16</v>
      </c>
      <c r="B334" s="695" t="s">
        <v>1317</v>
      </c>
      <c r="C334" s="696"/>
      <c r="D334" s="697"/>
      <c r="E334" s="698"/>
      <c r="F334" s="1001">
        <v>16</v>
      </c>
      <c r="G334" s="695" t="s">
        <v>1318</v>
      </c>
      <c r="H334" s="696"/>
      <c r="I334" s="697"/>
      <c r="J334" s="698"/>
      <c r="K334" s="1001">
        <v>16</v>
      </c>
      <c r="L334" s="695" t="s">
        <v>1319</v>
      </c>
      <c r="M334" s="696">
        <v>176</v>
      </c>
      <c r="N334" s="697" t="s">
        <v>254</v>
      </c>
      <c r="O334" s="698" t="s">
        <v>254</v>
      </c>
      <c r="P334" s="692"/>
      <c r="Q334" s="173"/>
      <c r="R334" s="173"/>
      <c r="S334" s="173"/>
      <c r="T334" s="173"/>
      <c r="U334" s="173"/>
      <c r="V334" s="173"/>
      <c r="W334" s="173"/>
      <c r="X334" s="173"/>
      <c r="Y334" s="173"/>
      <c r="Z334" s="173"/>
      <c r="AA334" s="173"/>
      <c r="AB334" s="173"/>
      <c r="AC334" s="173"/>
      <c r="AD334" s="173"/>
      <c r="AE334" s="173"/>
      <c r="AF334" s="173"/>
      <c r="AG334" s="173"/>
      <c r="AH334" s="173"/>
      <c r="AI334" s="173"/>
      <c r="AJ334" s="173"/>
      <c r="AK334" s="173"/>
      <c r="AL334" s="173"/>
      <c r="AM334" s="173"/>
      <c r="AN334" s="173"/>
      <c r="AO334" s="173"/>
      <c r="AP334" s="173"/>
    </row>
    <row r="335" spans="1:42" ht="12.75" customHeight="1">
      <c r="A335" s="1002"/>
      <c r="B335" s="700" t="s">
        <v>1320</v>
      </c>
      <c r="C335" s="701"/>
      <c r="D335" s="702"/>
      <c r="E335" s="703"/>
      <c r="F335" s="1002"/>
      <c r="G335" s="700" t="s">
        <v>1321</v>
      </c>
      <c r="H335" s="701"/>
      <c r="I335" s="702"/>
      <c r="J335" s="703"/>
      <c r="K335" s="1002"/>
      <c r="L335" s="700" t="s">
        <v>1322</v>
      </c>
      <c r="M335" s="701">
        <v>185</v>
      </c>
      <c r="N335" s="702">
        <v>0</v>
      </c>
      <c r="O335" s="703">
        <v>0</v>
      </c>
      <c r="P335" s="692"/>
      <c r="Q335" s="173"/>
      <c r="R335" s="173"/>
      <c r="S335" s="173"/>
      <c r="T335" s="173"/>
      <c r="U335" s="173"/>
      <c r="V335" s="173"/>
      <c r="W335" s="173"/>
      <c r="X335" s="173"/>
      <c r="Y335" s="173"/>
      <c r="Z335" s="173"/>
      <c r="AA335" s="173"/>
      <c r="AB335" s="173"/>
      <c r="AC335" s="173"/>
      <c r="AD335" s="173"/>
      <c r="AE335" s="173"/>
      <c r="AF335" s="173"/>
      <c r="AG335" s="173"/>
      <c r="AH335" s="173"/>
      <c r="AI335" s="173"/>
      <c r="AJ335" s="173"/>
      <c r="AK335" s="173"/>
      <c r="AL335" s="173"/>
      <c r="AM335" s="173"/>
      <c r="AN335" s="173"/>
      <c r="AO335" s="173"/>
      <c r="AP335" s="173"/>
    </row>
    <row r="336" spans="1:42" ht="12.75" customHeight="1" thickBot="1">
      <c r="A336" s="1003"/>
      <c r="B336" s="704" t="s">
        <v>1323</v>
      </c>
      <c r="C336" s="705"/>
      <c r="D336" s="706"/>
      <c r="E336" s="707"/>
      <c r="F336" s="1003"/>
      <c r="G336" s="704" t="s">
        <v>1324</v>
      </c>
      <c r="H336" s="705"/>
      <c r="I336" s="706"/>
      <c r="J336" s="707"/>
      <c r="K336" s="1003"/>
      <c r="L336" s="704" t="s">
        <v>1325</v>
      </c>
      <c r="M336" s="705">
        <v>190</v>
      </c>
      <c r="N336" s="706">
        <v>0</v>
      </c>
      <c r="O336" s="707">
        <v>0</v>
      </c>
      <c r="P336" s="692"/>
      <c r="Q336" s="173"/>
      <c r="R336" s="173"/>
      <c r="S336" s="173"/>
      <c r="T336" s="173"/>
      <c r="U336" s="173"/>
      <c r="V336" s="173"/>
      <c r="W336" s="173"/>
      <c r="X336" s="173"/>
      <c r="Y336" s="173"/>
      <c r="Z336" s="173"/>
      <c r="AA336" s="173"/>
      <c r="AB336" s="173"/>
      <c r="AC336" s="173"/>
      <c r="AD336" s="173"/>
      <c r="AE336" s="173"/>
      <c r="AF336" s="173"/>
      <c r="AG336" s="173"/>
      <c r="AH336" s="173"/>
      <c r="AI336" s="173"/>
      <c r="AJ336" s="173"/>
      <c r="AK336" s="173"/>
      <c r="AL336" s="173"/>
      <c r="AM336" s="173"/>
      <c r="AN336" s="173"/>
      <c r="AO336" s="173"/>
      <c r="AP336" s="173"/>
    </row>
    <row r="337" spans="1:42" ht="12.75" customHeight="1">
      <c r="A337" s="1001">
        <v>17</v>
      </c>
      <c r="B337" s="715" t="s">
        <v>1326</v>
      </c>
      <c r="C337" s="716"/>
      <c r="D337" s="717"/>
      <c r="E337" s="718"/>
      <c r="F337" s="1002">
        <v>17</v>
      </c>
      <c r="G337" s="715" t="s">
        <v>1327</v>
      </c>
      <c r="H337" s="716"/>
      <c r="I337" s="717"/>
      <c r="J337" s="718"/>
      <c r="K337" s="1002">
        <v>17</v>
      </c>
      <c r="L337" s="715" t="s">
        <v>1328</v>
      </c>
      <c r="M337" s="716">
        <v>386</v>
      </c>
      <c r="N337" s="717">
        <v>-0.75</v>
      </c>
      <c r="O337" s="718">
        <v>0.65</v>
      </c>
      <c r="P337" s="692"/>
      <c r="Q337" s="173"/>
      <c r="R337" s="173"/>
      <c r="S337" s="173"/>
      <c r="T337" s="173"/>
      <c r="U337" s="173"/>
      <c r="V337" s="173"/>
      <c r="W337" s="173"/>
      <c r="X337" s="173"/>
      <c r="Y337" s="173"/>
      <c r="Z337" s="173"/>
      <c r="AA337" s="173"/>
      <c r="AB337" s="173"/>
      <c r="AC337" s="173"/>
      <c r="AD337" s="173"/>
      <c r="AE337" s="173"/>
      <c r="AF337" s="173"/>
      <c r="AG337" s="173"/>
      <c r="AH337" s="173"/>
      <c r="AI337" s="173"/>
      <c r="AJ337" s="173"/>
      <c r="AK337" s="173"/>
      <c r="AL337" s="173"/>
      <c r="AM337" s="173"/>
      <c r="AN337" s="173"/>
      <c r="AO337" s="173"/>
      <c r="AP337" s="173"/>
    </row>
    <row r="338" spans="1:42" ht="12.75" customHeight="1">
      <c r="A338" s="1002"/>
      <c r="B338" s="700" t="s">
        <v>1329</v>
      </c>
      <c r="C338" s="701"/>
      <c r="D338" s="702"/>
      <c r="E338" s="703"/>
      <c r="F338" s="1002"/>
      <c r="G338" s="700" t="s">
        <v>1330</v>
      </c>
      <c r="H338" s="701"/>
      <c r="I338" s="702"/>
      <c r="J338" s="703"/>
      <c r="K338" s="1002"/>
      <c r="L338" s="700" t="s">
        <v>1331</v>
      </c>
      <c r="M338" s="701">
        <v>400</v>
      </c>
      <c r="N338" s="702" t="s">
        <v>254</v>
      </c>
      <c r="O338" s="703" t="s">
        <v>254</v>
      </c>
      <c r="P338" s="692"/>
      <c r="Q338" s="173"/>
      <c r="R338" s="173"/>
      <c r="S338" s="173"/>
      <c r="T338" s="173"/>
      <c r="U338" s="173"/>
      <c r="V338" s="173"/>
      <c r="W338" s="173"/>
      <c r="X338" s="173"/>
      <c r="Y338" s="173"/>
      <c r="Z338" s="173"/>
      <c r="AA338" s="173"/>
      <c r="AB338" s="173"/>
      <c r="AC338" s="173"/>
      <c r="AD338" s="173"/>
      <c r="AE338" s="173"/>
      <c r="AF338" s="173"/>
      <c r="AG338" s="173"/>
      <c r="AH338" s="173"/>
      <c r="AI338" s="173"/>
      <c r="AJ338" s="173"/>
      <c r="AK338" s="173"/>
      <c r="AL338" s="173"/>
      <c r="AM338" s="173"/>
      <c r="AN338" s="173"/>
      <c r="AO338" s="173"/>
      <c r="AP338" s="173"/>
    </row>
    <row r="339" spans="1:42" ht="12.75" customHeight="1" thickBot="1">
      <c r="A339" s="1003"/>
      <c r="B339" s="708" t="s">
        <v>1332</v>
      </c>
      <c r="C339" s="709"/>
      <c r="D339" s="710"/>
      <c r="E339" s="711"/>
      <c r="F339" s="1002"/>
      <c r="G339" s="708" t="s">
        <v>1333</v>
      </c>
      <c r="H339" s="709"/>
      <c r="I339" s="710"/>
      <c r="J339" s="711"/>
      <c r="K339" s="1002"/>
      <c r="L339" s="708" t="s">
        <v>1334</v>
      </c>
      <c r="M339" s="709">
        <v>411</v>
      </c>
      <c r="N339" s="710">
        <v>0.4</v>
      </c>
      <c r="O339" s="711">
        <v>-0.3</v>
      </c>
      <c r="P339" s="692"/>
      <c r="Q339" s="173"/>
      <c r="R339" s="173"/>
      <c r="S339" s="173"/>
      <c r="T339" s="173"/>
      <c r="U339" s="173"/>
      <c r="V339" s="173"/>
      <c r="W339" s="173"/>
      <c r="X339" s="173"/>
      <c r="Y339" s="173"/>
      <c r="Z339" s="173"/>
      <c r="AA339" s="173"/>
      <c r="AB339" s="173"/>
      <c r="AC339" s="173"/>
      <c r="AD339" s="173"/>
      <c r="AE339" s="173"/>
      <c r="AF339" s="173"/>
      <c r="AG339" s="173"/>
      <c r="AH339" s="173"/>
      <c r="AI339" s="173"/>
      <c r="AJ339" s="173"/>
      <c r="AK339" s="173"/>
      <c r="AL339" s="173"/>
      <c r="AM339" s="173"/>
      <c r="AN339" s="173"/>
      <c r="AO339" s="173"/>
      <c r="AP339" s="173"/>
    </row>
    <row r="340" spans="1:42" ht="12.75" customHeight="1">
      <c r="A340" s="1001">
        <v>18</v>
      </c>
      <c r="B340" s="695" t="s">
        <v>1335</v>
      </c>
      <c r="C340" s="696"/>
      <c r="D340" s="697"/>
      <c r="E340" s="698"/>
      <c r="F340" s="1001">
        <v>18</v>
      </c>
      <c r="G340" s="695" t="s">
        <v>1336</v>
      </c>
      <c r="H340" s="696"/>
      <c r="I340" s="697"/>
      <c r="J340" s="698"/>
      <c r="K340" s="1001">
        <v>18</v>
      </c>
      <c r="L340" s="695" t="s">
        <v>1337</v>
      </c>
      <c r="M340" s="696">
        <v>428</v>
      </c>
      <c r="N340" s="697" t="s">
        <v>254</v>
      </c>
      <c r="O340" s="698" t="s">
        <v>254</v>
      </c>
      <c r="P340" s="692"/>
      <c r="Q340" s="173"/>
      <c r="R340" s="173"/>
      <c r="S340" s="173"/>
      <c r="T340" s="173"/>
      <c r="U340" s="173"/>
      <c r="V340" s="173"/>
      <c r="W340" s="173"/>
      <c r="X340" s="173"/>
      <c r="Y340" s="173"/>
      <c r="Z340" s="173"/>
      <c r="AA340" s="173"/>
      <c r="AB340" s="173"/>
      <c r="AC340" s="173"/>
      <c r="AD340" s="173"/>
      <c r="AE340" s="173"/>
      <c r="AF340" s="173"/>
      <c r="AG340" s="173"/>
      <c r="AH340" s="173"/>
      <c r="AI340" s="173"/>
      <c r="AJ340" s="173"/>
      <c r="AK340" s="173"/>
      <c r="AL340" s="173"/>
      <c r="AM340" s="173"/>
      <c r="AN340" s="173"/>
      <c r="AO340" s="173"/>
      <c r="AP340" s="173"/>
    </row>
    <row r="341" spans="1:42" ht="12.75" customHeight="1">
      <c r="A341" s="1002"/>
      <c r="B341" s="700" t="s">
        <v>1338</v>
      </c>
      <c r="C341" s="701"/>
      <c r="D341" s="702"/>
      <c r="E341" s="703"/>
      <c r="F341" s="1002"/>
      <c r="G341" s="700" t="s">
        <v>1339</v>
      </c>
      <c r="H341" s="701"/>
      <c r="I341" s="702"/>
      <c r="J341" s="703"/>
      <c r="K341" s="1002"/>
      <c r="L341" s="700" t="s">
        <v>1340</v>
      </c>
      <c r="M341" s="701">
        <v>432</v>
      </c>
      <c r="N341" s="702" t="s">
        <v>254</v>
      </c>
      <c r="O341" s="703" t="s">
        <v>254</v>
      </c>
      <c r="P341" s="692"/>
      <c r="Q341" s="173"/>
      <c r="R341" s="173"/>
      <c r="S341" s="173"/>
      <c r="T341" s="173"/>
      <c r="U341" s="173"/>
      <c r="V341" s="173"/>
      <c r="W341" s="173"/>
      <c r="X341" s="173"/>
      <c r="Y341" s="173"/>
      <c r="Z341" s="173"/>
      <c r="AA341" s="173"/>
      <c r="AB341" s="173"/>
      <c r="AC341" s="173"/>
      <c r="AD341" s="173"/>
      <c r="AE341" s="173"/>
      <c r="AF341" s="173"/>
      <c r="AG341" s="173"/>
      <c r="AH341" s="173"/>
      <c r="AI341" s="173"/>
      <c r="AJ341" s="173"/>
      <c r="AK341" s="173"/>
      <c r="AL341" s="173"/>
      <c r="AM341" s="173"/>
      <c r="AN341" s="173"/>
      <c r="AO341" s="173"/>
      <c r="AP341" s="173"/>
    </row>
    <row r="342" spans="1:42" ht="12.75" customHeight="1" thickBot="1">
      <c r="A342" s="1003"/>
      <c r="B342" s="704" t="s">
        <v>1341</v>
      </c>
      <c r="C342" s="705"/>
      <c r="D342" s="706"/>
      <c r="E342" s="707"/>
      <c r="F342" s="1003"/>
      <c r="G342" s="704" t="s">
        <v>1342</v>
      </c>
      <c r="H342" s="705"/>
      <c r="I342" s="706"/>
      <c r="J342" s="707"/>
      <c r="K342" s="1003"/>
      <c r="L342" s="704" t="s">
        <v>1343</v>
      </c>
      <c r="M342" s="705">
        <v>443</v>
      </c>
      <c r="N342" s="706" t="s">
        <v>254</v>
      </c>
      <c r="O342" s="707" t="s">
        <v>254</v>
      </c>
      <c r="P342" s="692"/>
      <c r="Q342" s="173"/>
      <c r="R342" s="173"/>
      <c r="S342" s="173"/>
      <c r="T342" s="173"/>
      <c r="U342" s="173"/>
      <c r="V342" s="173"/>
      <c r="W342" s="173"/>
      <c r="X342" s="173"/>
      <c r="Y342" s="173"/>
      <c r="Z342" s="173"/>
      <c r="AA342" s="173"/>
      <c r="AB342" s="173"/>
      <c r="AC342" s="173"/>
      <c r="AD342" s="173"/>
      <c r="AE342" s="173"/>
      <c r="AF342" s="173"/>
      <c r="AG342" s="173"/>
      <c r="AH342" s="173"/>
      <c r="AI342" s="173"/>
      <c r="AJ342" s="173"/>
      <c r="AK342" s="173"/>
      <c r="AL342" s="173"/>
      <c r="AM342" s="173"/>
      <c r="AN342" s="173"/>
      <c r="AO342" s="173"/>
      <c r="AP342" s="173"/>
    </row>
    <row r="343" spans="1:42" ht="12.75" customHeight="1"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173"/>
      <c r="R343" s="173"/>
      <c r="S343" s="173"/>
      <c r="T343" s="173"/>
      <c r="U343" s="173"/>
      <c r="V343" s="173"/>
      <c r="W343" s="173"/>
      <c r="X343" s="173"/>
      <c r="Y343" s="173"/>
      <c r="Z343" s="173"/>
      <c r="AA343" s="173"/>
      <c r="AB343" s="173"/>
      <c r="AC343" s="173"/>
      <c r="AD343" s="173"/>
      <c r="AE343" s="173"/>
      <c r="AF343" s="173"/>
      <c r="AG343" s="173"/>
      <c r="AH343" s="173"/>
      <c r="AI343" s="173"/>
      <c r="AJ343" s="173"/>
      <c r="AK343" s="173"/>
      <c r="AL343" s="173"/>
      <c r="AM343" s="173"/>
      <c r="AN343" s="173"/>
      <c r="AO343" s="173"/>
      <c r="AP343" s="173"/>
    </row>
    <row r="344" spans="1:42" ht="12.75" customHeight="1"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173"/>
      <c r="R344" s="173"/>
      <c r="S344" s="173"/>
      <c r="T344" s="173"/>
      <c r="U344" s="173"/>
      <c r="V344" s="173"/>
      <c r="W344" s="173"/>
      <c r="X344" s="173"/>
      <c r="Y344" s="173"/>
      <c r="Z344" s="173"/>
      <c r="AA344" s="173"/>
      <c r="AB344" s="173"/>
      <c r="AC344" s="173"/>
      <c r="AD344" s="173"/>
      <c r="AE344" s="173"/>
      <c r="AF344" s="173"/>
      <c r="AG344" s="173"/>
      <c r="AH344" s="173"/>
      <c r="AI344" s="173"/>
      <c r="AJ344" s="173"/>
      <c r="AK344" s="173"/>
      <c r="AL344" s="173"/>
      <c r="AM344" s="173"/>
      <c r="AN344" s="173"/>
      <c r="AO344" s="173"/>
      <c r="AP344" s="173"/>
    </row>
    <row r="345" spans="1:42" ht="12.75" customHeight="1"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173"/>
      <c r="R345" s="173"/>
      <c r="S345" s="173"/>
      <c r="T345" s="173"/>
      <c r="U345" s="173"/>
      <c r="V345" s="173"/>
      <c r="W345" s="173"/>
      <c r="X345" s="173"/>
      <c r="Y345" s="173"/>
      <c r="Z345" s="173"/>
      <c r="AA345" s="173"/>
      <c r="AB345" s="173"/>
      <c r="AC345" s="173"/>
      <c r="AD345" s="173"/>
      <c r="AE345" s="173"/>
      <c r="AF345" s="173"/>
      <c r="AG345" s="173"/>
      <c r="AH345" s="173"/>
      <c r="AI345" s="173"/>
      <c r="AJ345" s="173"/>
      <c r="AK345" s="173"/>
      <c r="AL345" s="173"/>
      <c r="AM345" s="173"/>
      <c r="AN345" s="173"/>
      <c r="AO345" s="173"/>
      <c r="AP345" s="173"/>
    </row>
    <row r="346" spans="1:42" ht="12.75" customHeight="1"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173"/>
      <c r="R346" s="173"/>
      <c r="S346" s="173"/>
      <c r="T346" s="173"/>
      <c r="U346" s="173"/>
      <c r="V346" s="173"/>
      <c r="W346" s="173"/>
      <c r="X346" s="173"/>
      <c r="Y346" s="173"/>
      <c r="Z346" s="173"/>
      <c r="AA346" s="173"/>
      <c r="AB346" s="173"/>
      <c r="AC346" s="173"/>
      <c r="AD346" s="173"/>
      <c r="AE346" s="173"/>
      <c r="AF346" s="173"/>
      <c r="AG346" s="173"/>
      <c r="AH346" s="173"/>
      <c r="AI346" s="173"/>
      <c r="AJ346" s="173"/>
      <c r="AK346" s="173"/>
      <c r="AL346" s="173"/>
      <c r="AM346" s="173"/>
      <c r="AN346" s="173"/>
      <c r="AO346" s="173"/>
      <c r="AP346" s="173"/>
    </row>
    <row r="347" spans="1:42" ht="12.75" customHeight="1"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173"/>
      <c r="R347" s="173"/>
      <c r="S347" s="173"/>
      <c r="T347" s="173"/>
      <c r="U347" s="173"/>
      <c r="V347" s="173"/>
      <c r="W347" s="173"/>
      <c r="X347" s="173"/>
      <c r="Y347" s="173"/>
      <c r="Z347" s="173"/>
      <c r="AA347" s="173"/>
      <c r="AB347" s="173"/>
      <c r="AC347" s="173"/>
      <c r="AD347" s="173"/>
      <c r="AE347" s="173"/>
      <c r="AF347" s="173"/>
      <c r="AG347" s="173"/>
      <c r="AH347" s="173"/>
      <c r="AI347" s="173"/>
      <c r="AJ347" s="173"/>
      <c r="AK347" s="173"/>
      <c r="AL347" s="173"/>
      <c r="AM347" s="173"/>
      <c r="AN347" s="173"/>
      <c r="AO347" s="173"/>
      <c r="AP347" s="173"/>
    </row>
    <row r="348" spans="1:42" ht="12.75" customHeight="1"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173"/>
      <c r="R348" s="173"/>
      <c r="S348" s="173"/>
      <c r="T348" s="173"/>
      <c r="U348" s="173"/>
      <c r="V348" s="173"/>
      <c r="W348" s="173"/>
      <c r="X348" s="173"/>
      <c r="Y348" s="173"/>
      <c r="Z348" s="173"/>
      <c r="AA348" s="173"/>
      <c r="AB348" s="173"/>
      <c r="AC348" s="173"/>
      <c r="AD348" s="173"/>
      <c r="AE348" s="173"/>
      <c r="AF348" s="173"/>
      <c r="AG348" s="173"/>
      <c r="AH348" s="173"/>
      <c r="AI348" s="173"/>
      <c r="AJ348" s="173"/>
      <c r="AK348" s="173"/>
      <c r="AL348" s="173"/>
      <c r="AM348" s="173"/>
      <c r="AN348" s="173"/>
      <c r="AO348" s="173"/>
      <c r="AP348" s="173"/>
    </row>
    <row r="349" spans="1:42" ht="12.75" customHeight="1">
      <c r="A349" s="727"/>
      <c r="B349" s="727"/>
      <c r="C349" s="727"/>
      <c r="D349" s="727"/>
      <c r="E349" s="727"/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173"/>
      <c r="R349" s="173"/>
      <c r="S349" s="173"/>
      <c r="T349" s="173"/>
      <c r="U349" s="173"/>
      <c r="V349" s="173"/>
      <c r="W349" s="173"/>
      <c r="X349" s="173"/>
      <c r="Y349" s="173"/>
      <c r="Z349" s="173"/>
      <c r="AA349" s="173"/>
      <c r="AB349" s="173"/>
      <c r="AC349" s="173"/>
      <c r="AD349" s="173"/>
      <c r="AE349" s="173"/>
      <c r="AF349" s="173"/>
      <c r="AG349" s="173"/>
      <c r="AH349" s="173"/>
      <c r="AI349" s="173"/>
      <c r="AJ349" s="173"/>
      <c r="AK349" s="173"/>
      <c r="AL349" s="173"/>
      <c r="AM349" s="173"/>
      <c r="AN349" s="173"/>
      <c r="AO349" s="173"/>
      <c r="AP349" s="173"/>
    </row>
    <row r="350" spans="1:42" ht="12.75" customHeight="1"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173"/>
      <c r="R350" s="173"/>
      <c r="S350" s="173"/>
      <c r="T350" s="173"/>
      <c r="U350" s="173"/>
      <c r="V350" s="173"/>
      <c r="W350" s="173"/>
      <c r="X350" s="173"/>
      <c r="Y350" s="173"/>
      <c r="Z350" s="173"/>
      <c r="AA350" s="173"/>
      <c r="AB350" s="173"/>
      <c r="AC350" s="173"/>
      <c r="AD350" s="173"/>
      <c r="AE350" s="173"/>
      <c r="AF350" s="173"/>
      <c r="AG350" s="173"/>
      <c r="AH350" s="173"/>
      <c r="AI350" s="173"/>
      <c r="AJ350" s="173"/>
      <c r="AK350" s="173"/>
      <c r="AL350" s="173"/>
      <c r="AM350" s="173"/>
      <c r="AN350" s="173"/>
      <c r="AO350" s="173"/>
      <c r="AP350" s="173"/>
    </row>
    <row r="351" spans="1:42"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173"/>
      <c r="R351" s="173"/>
      <c r="S351" s="173"/>
      <c r="T351" s="173"/>
      <c r="U351" s="173"/>
      <c r="V351" s="173"/>
      <c r="W351" s="173"/>
      <c r="X351" s="173"/>
      <c r="Y351" s="173"/>
      <c r="Z351" s="173"/>
      <c r="AA351" s="173"/>
      <c r="AB351" s="173"/>
      <c r="AC351" s="173"/>
      <c r="AD351" s="173"/>
      <c r="AE351" s="173"/>
      <c r="AF351" s="173"/>
      <c r="AG351" s="173"/>
      <c r="AH351" s="173"/>
      <c r="AI351" s="173"/>
      <c r="AJ351" s="173"/>
      <c r="AK351" s="173"/>
      <c r="AL351" s="173"/>
      <c r="AM351" s="173"/>
      <c r="AN351" s="173"/>
      <c r="AO351" s="173"/>
      <c r="AP351" s="173"/>
    </row>
    <row r="352" spans="1:42"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173"/>
      <c r="R352" s="173"/>
      <c r="S352" s="173"/>
      <c r="T352" s="173"/>
      <c r="U352" s="173"/>
      <c r="V352" s="173"/>
      <c r="W352" s="173"/>
      <c r="X352" s="173"/>
      <c r="Y352" s="173"/>
      <c r="Z352" s="173"/>
      <c r="AA352" s="173"/>
      <c r="AB352" s="173"/>
      <c r="AC352" s="173"/>
      <c r="AD352" s="173"/>
      <c r="AE352" s="173"/>
      <c r="AF352" s="173"/>
      <c r="AG352" s="173"/>
      <c r="AH352" s="173"/>
      <c r="AI352" s="173"/>
      <c r="AJ352" s="173"/>
      <c r="AK352" s="173"/>
      <c r="AL352" s="173"/>
      <c r="AM352" s="173"/>
      <c r="AN352" s="173"/>
      <c r="AO352" s="173"/>
      <c r="AP352" s="173"/>
    </row>
    <row r="353" spans="6:42"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173"/>
      <c r="R353" s="173"/>
      <c r="S353" s="173"/>
      <c r="T353" s="173"/>
      <c r="U353" s="173"/>
      <c r="V353" s="173"/>
      <c r="W353" s="173"/>
      <c r="X353" s="173"/>
      <c r="Y353" s="173"/>
      <c r="Z353" s="173"/>
      <c r="AA353" s="173"/>
      <c r="AB353" s="173"/>
      <c r="AC353" s="173"/>
      <c r="AD353" s="173"/>
      <c r="AE353" s="173"/>
      <c r="AF353" s="173"/>
      <c r="AG353" s="173"/>
      <c r="AH353" s="173"/>
      <c r="AI353" s="173"/>
      <c r="AJ353" s="173"/>
      <c r="AK353" s="173"/>
      <c r="AL353" s="173"/>
      <c r="AM353" s="173"/>
      <c r="AN353" s="173"/>
      <c r="AO353" s="173"/>
      <c r="AP353" s="173"/>
    </row>
    <row r="354" spans="6:42"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173"/>
      <c r="R354" s="173"/>
      <c r="S354" s="173"/>
      <c r="T354" s="173"/>
      <c r="U354" s="173"/>
      <c r="V354" s="173"/>
      <c r="W354" s="173"/>
      <c r="X354" s="173"/>
      <c r="Y354" s="173"/>
      <c r="Z354" s="173"/>
      <c r="AA354" s="173"/>
      <c r="AB354" s="173"/>
      <c r="AC354" s="173"/>
      <c r="AD354" s="173"/>
      <c r="AE354" s="173"/>
      <c r="AF354" s="173"/>
      <c r="AG354" s="173"/>
      <c r="AH354" s="173"/>
      <c r="AI354" s="173"/>
      <c r="AJ354" s="173"/>
      <c r="AK354" s="173"/>
      <c r="AL354" s="173"/>
      <c r="AM354" s="173"/>
      <c r="AN354" s="173"/>
      <c r="AO354" s="173"/>
      <c r="AP354" s="173"/>
    </row>
    <row r="355" spans="6:42"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173"/>
      <c r="R355" s="173"/>
      <c r="S355" s="173"/>
      <c r="T355" s="173"/>
      <c r="U355" s="173"/>
      <c r="V355" s="173"/>
      <c r="W355" s="173"/>
      <c r="X355" s="173"/>
      <c r="Y355" s="173"/>
      <c r="Z355" s="173"/>
      <c r="AA355" s="173"/>
      <c r="AB355" s="173"/>
      <c r="AC355" s="173"/>
      <c r="AD355" s="173"/>
      <c r="AE355" s="173"/>
      <c r="AF355" s="173"/>
      <c r="AG355" s="173"/>
      <c r="AH355" s="173"/>
      <c r="AI355" s="173"/>
      <c r="AJ355" s="173"/>
      <c r="AK355" s="173"/>
      <c r="AL355" s="173"/>
      <c r="AM355" s="173"/>
      <c r="AN355" s="173"/>
      <c r="AO355" s="173"/>
      <c r="AP355" s="173"/>
    </row>
    <row r="356" spans="6:42"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173"/>
      <c r="R356" s="173"/>
      <c r="S356" s="173"/>
      <c r="T356" s="173"/>
      <c r="U356" s="173"/>
      <c r="V356" s="173"/>
      <c r="W356" s="173"/>
      <c r="X356" s="173"/>
      <c r="Y356" s="173"/>
      <c r="Z356" s="173"/>
      <c r="AA356" s="173"/>
      <c r="AB356" s="173"/>
      <c r="AC356" s="173"/>
      <c r="AD356" s="173"/>
      <c r="AE356" s="173"/>
      <c r="AF356" s="173"/>
      <c r="AG356" s="173"/>
      <c r="AH356" s="173"/>
      <c r="AI356" s="173"/>
      <c r="AJ356" s="173"/>
      <c r="AK356" s="173"/>
      <c r="AL356" s="173"/>
      <c r="AM356" s="173"/>
      <c r="AN356" s="173"/>
      <c r="AO356" s="173"/>
      <c r="AP356" s="173"/>
    </row>
    <row r="357" spans="6:42"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173"/>
      <c r="R357" s="173"/>
      <c r="S357" s="173"/>
      <c r="T357" s="173"/>
      <c r="U357" s="173"/>
      <c r="V357" s="173"/>
      <c r="W357" s="173"/>
      <c r="X357" s="173"/>
      <c r="Y357" s="173"/>
      <c r="Z357" s="173"/>
      <c r="AA357" s="173"/>
      <c r="AB357" s="173"/>
      <c r="AC357" s="173"/>
      <c r="AD357" s="173"/>
      <c r="AE357" s="173"/>
      <c r="AF357" s="173"/>
      <c r="AG357" s="173"/>
      <c r="AH357" s="173"/>
      <c r="AI357" s="173"/>
      <c r="AJ357" s="173"/>
      <c r="AK357" s="173"/>
      <c r="AL357" s="173"/>
      <c r="AM357" s="173"/>
      <c r="AN357" s="173"/>
      <c r="AO357" s="173"/>
      <c r="AP357" s="173"/>
    </row>
    <row r="358" spans="6:42"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173"/>
      <c r="R358" s="173"/>
      <c r="S358" s="173"/>
      <c r="T358" s="173"/>
      <c r="U358" s="173"/>
      <c r="V358" s="173"/>
      <c r="W358" s="173"/>
      <c r="X358" s="173"/>
      <c r="Y358" s="173"/>
      <c r="Z358" s="173"/>
      <c r="AA358" s="173"/>
      <c r="AB358" s="173"/>
      <c r="AC358" s="173"/>
      <c r="AD358" s="173"/>
      <c r="AE358" s="173"/>
      <c r="AF358" s="173"/>
      <c r="AG358" s="173"/>
      <c r="AH358" s="173"/>
      <c r="AI358" s="173"/>
      <c r="AJ358" s="173"/>
      <c r="AK358" s="173"/>
      <c r="AL358" s="173"/>
      <c r="AM358" s="173"/>
      <c r="AN358" s="173"/>
      <c r="AO358" s="173"/>
      <c r="AP358" s="173"/>
    </row>
    <row r="359" spans="6:42"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173"/>
      <c r="R359" s="173"/>
      <c r="S359" s="173"/>
      <c r="T359" s="173"/>
      <c r="U359" s="173"/>
      <c r="V359" s="173"/>
      <c r="W359" s="173"/>
      <c r="X359" s="173"/>
      <c r="Y359" s="173"/>
      <c r="Z359" s="173"/>
      <c r="AA359" s="173"/>
      <c r="AB359" s="173"/>
      <c r="AC359" s="173"/>
      <c r="AD359" s="173"/>
      <c r="AE359" s="173"/>
      <c r="AF359" s="173"/>
      <c r="AG359" s="173"/>
      <c r="AH359" s="173"/>
      <c r="AI359" s="173"/>
      <c r="AJ359" s="173"/>
      <c r="AK359" s="173"/>
      <c r="AL359" s="173"/>
      <c r="AM359" s="173"/>
      <c r="AN359" s="173"/>
      <c r="AO359" s="173"/>
      <c r="AP359" s="173"/>
    </row>
    <row r="360" spans="6:42"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173"/>
      <c r="R360" s="173"/>
      <c r="S360" s="173"/>
      <c r="T360" s="173"/>
      <c r="U360" s="173"/>
      <c r="V360" s="173"/>
      <c r="W360" s="173"/>
      <c r="X360" s="173"/>
      <c r="Y360" s="173"/>
      <c r="Z360" s="173"/>
      <c r="AA360" s="173"/>
      <c r="AB360" s="173"/>
      <c r="AC360" s="173"/>
      <c r="AD360" s="173"/>
      <c r="AE360" s="173"/>
      <c r="AF360" s="173"/>
      <c r="AG360" s="173"/>
      <c r="AH360" s="173"/>
      <c r="AI360" s="173"/>
      <c r="AJ360" s="173"/>
      <c r="AK360" s="173"/>
      <c r="AL360" s="173"/>
      <c r="AM360" s="173"/>
      <c r="AN360" s="173"/>
      <c r="AO360" s="173"/>
      <c r="AP360" s="173"/>
    </row>
    <row r="361" spans="6:42"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173"/>
      <c r="R361" s="173"/>
      <c r="S361" s="173"/>
      <c r="T361" s="173"/>
      <c r="U361" s="173"/>
      <c r="V361" s="173"/>
      <c r="W361" s="173"/>
      <c r="X361" s="173"/>
      <c r="Y361" s="173"/>
      <c r="Z361" s="173"/>
      <c r="AA361" s="173"/>
      <c r="AB361" s="173"/>
      <c r="AC361" s="173"/>
      <c r="AD361" s="173"/>
      <c r="AE361" s="173"/>
      <c r="AF361" s="173"/>
      <c r="AG361" s="173"/>
      <c r="AH361" s="173"/>
      <c r="AI361" s="173"/>
      <c r="AJ361" s="173"/>
      <c r="AK361" s="173"/>
      <c r="AL361" s="173"/>
      <c r="AM361" s="173"/>
      <c r="AN361" s="173"/>
      <c r="AO361" s="173"/>
      <c r="AP361" s="173"/>
    </row>
    <row r="362" spans="6:42"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173"/>
      <c r="R362" s="173"/>
      <c r="S362" s="173"/>
      <c r="T362" s="173"/>
      <c r="U362" s="173"/>
      <c r="V362" s="173"/>
      <c r="W362" s="173"/>
      <c r="X362" s="173"/>
      <c r="Y362" s="173"/>
      <c r="Z362" s="173"/>
      <c r="AA362" s="173"/>
      <c r="AB362" s="173"/>
      <c r="AC362" s="173"/>
      <c r="AD362" s="173"/>
      <c r="AE362" s="173"/>
      <c r="AF362" s="173"/>
      <c r="AG362" s="173"/>
      <c r="AH362" s="173"/>
      <c r="AI362" s="173"/>
      <c r="AJ362" s="173"/>
      <c r="AK362" s="173"/>
      <c r="AL362" s="173"/>
      <c r="AM362" s="173"/>
      <c r="AN362" s="173"/>
      <c r="AO362" s="173"/>
      <c r="AP362" s="173"/>
    </row>
    <row r="363" spans="6:42"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173"/>
      <c r="R363" s="173"/>
      <c r="S363" s="173"/>
      <c r="T363" s="173"/>
      <c r="U363" s="173"/>
      <c r="V363" s="173"/>
      <c r="W363" s="173"/>
      <c r="X363" s="173"/>
      <c r="Y363" s="173"/>
      <c r="Z363" s="173"/>
      <c r="AA363" s="173"/>
      <c r="AB363" s="173"/>
      <c r="AC363" s="173"/>
      <c r="AD363" s="173"/>
      <c r="AE363" s="173"/>
      <c r="AF363" s="173"/>
      <c r="AG363" s="173"/>
      <c r="AH363" s="173"/>
      <c r="AI363" s="173"/>
      <c r="AJ363" s="173"/>
      <c r="AK363" s="173"/>
      <c r="AL363" s="173"/>
      <c r="AM363" s="173"/>
      <c r="AN363" s="173"/>
      <c r="AO363" s="173"/>
      <c r="AP363" s="173"/>
    </row>
    <row r="364" spans="6:42"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173"/>
      <c r="R364" s="173"/>
      <c r="S364" s="173"/>
      <c r="T364" s="173"/>
      <c r="U364" s="173"/>
      <c r="V364" s="173"/>
      <c r="W364" s="173"/>
      <c r="X364" s="173"/>
      <c r="Y364" s="173"/>
      <c r="Z364" s="173"/>
      <c r="AA364" s="173"/>
      <c r="AB364" s="173"/>
      <c r="AC364" s="173"/>
      <c r="AD364" s="173"/>
      <c r="AE364" s="173"/>
      <c r="AF364" s="173"/>
      <c r="AG364" s="173"/>
      <c r="AH364" s="173"/>
      <c r="AI364" s="173"/>
      <c r="AJ364" s="173"/>
      <c r="AK364" s="173"/>
      <c r="AL364" s="173"/>
      <c r="AM364" s="173"/>
      <c r="AN364" s="173"/>
      <c r="AO364" s="173"/>
      <c r="AP364" s="173"/>
    </row>
    <row r="365" spans="6:42"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173"/>
      <c r="R365" s="173"/>
      <c r="S365" s="173"/>
      <c r="T365" s="173"/>
      <c r="U365" s="173"/>
      <c r="V365" s="173"/>
      <c r="W365" s="173"/>
      <c r="X365" s="173"/>
      <c r="Y365" s="173"/>
      <c r="Z365" s="173"/>
      <c r="AA365" s="173"/>
      <c r="AB365" s="173"/>
      <c r="AC365" s="173"/>
      <c r="AD365" s="173"/>
      <c r="AE365" s="173"/>
      <c r="AF365" s="173"/>
      <c r="AG365" s="173"/>
      <c r="AH365" s="173"/>
      <c r="AI365" s="173"/>
      <c r="AJ365" s="173"/>
      <c r="AK365" s="173"/>
      <c r="AL365" s="173"/>
      <c r="AM365" s="173"/>
      <c r="AN365" s="173"/>
      <c r="AO365" s="173"/>
      <c r="AP365" s="173"/>
    </row>
    <row r="366" spans="6:42"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173"/>
      <c r="R366" s="173"/>
      <c r="S366" s="173"/>
      <c r="T366" s="173"/>
      <c r="U366" s="173"/>
      <c r="V366" s="173"/>
      <c r="W366" s="173"/>
      <c r="X366" s="173"/>
      <c r="Y366" s="173"/>
      <c r="Z366" s="173"/>
      <c r="AA366" s="173"/>
      <c r="AB366" s="173"/>
      <c r="AC366" s="173"/>
      <c r="AD366" s="173"/>
      <c r="AE366" s="173"/>
      <c r="AF366" s="173"/>
      <c r="AG366" s="173"/>
      <c r="AH366" s="173"/>
      <c r="AI366" s="173"/>
      <c r="AJ366" s="173"/>
      <c r="AK366" s="173"/>
      <c r="AL366" s="173"/>
      <c r="AM366" s="173"/>
      <c r="AN366" s="173"/>
      <c r="AO366" s="173"/>
      <c r="AP366" s="173"/>
    </row>
    <row r="367" spans="6:42"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173"/>
      <c r="R367" s="173"/>
      <c r="S367" s="173"/>
      <c r="T367" s="173"/>
      <c r="U367" s="173"/>
      <c r="V367" s="173"/>
      <c r="W367" s="173"/>
      <c r="X367" s="173"/>
      <c r="Y367" s="173"/>
      <c r="Z367" s="173"/>
      <c r="AA367" s="173"/>
      <c r="AB367" s="173"/>
      <c r="AC367" s="173"/>
      <c r="AD367" s="173"/>
      <c r="AE367" s="173"/>
      <c r="AF367" s="173"/>
      <c r="AG367" s="173"/>
      <c r="AH367" s="173"/>
      <c r="AI367" s="173"/>
      <c r="AJ367" s="173"/>
      <c r="AK367" s="173"/>
      <c r="AL367" s="173"/>
      <c r="AM367" s="173"/>
      <c r="AN367" s="173"/>
      <c r="AO367" s="173"/>
      <c r="AP367" s="173"/>
    </row>
    <row r="368" spans="6:42"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173"/>
      <c r="R368" s="173"/>
      <c r="S368" s="173"/>
      <c r="T368" s="173"/>
      <c r="U368" s="173"/>
      <c r="V368" s="173"/>
      <c r="W368" s="173"/>
      <c r="X368" s="173"/>
      <c r="Y368" s="173"/>
      <c r="Z368" s="173"/>
      <c r="AA368" s="173"/>
      <c r="AB368" s="173"/>
      <c r="AC368" s="173"/>
      <c r="AD368" s="173"/>
      <c r="AE368" s="173"/>
      <c r="AF368" s="173"/>
      <c r="AG368" s="173"/>
      <c r="AH368" s="173"/>
      <c r="AI368" s="173"/>
      <c r="AJ368" s="173"/>
      <c r="AK368" s="173"/>
      <c r="AL368" s="173"/>
      <c r="AM368" s="173"/>
      <c r="AN368" s="173"/>
      <c r="AO368" s="173"/>
      <c r="AP368" s="173"/>
    </row>
    <row r="369" spans="6:42"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173"/>
      <c r="R369" s="173"/>
      <c r="S369" s="173"/>
      <c r="T369" s="173"/>
      <c r="U369" s="173"/>
      <c r="V369" s="173"/>
      <c r="W369" s="173"/>
      <c r="X369" s="173"/>
      <c r="Y369" s="173"/>
      <c r="Z369" s="173"/>
      <c r="AA369" s="173"/>
      <c r="AB369" s="173"/>
      <c r="AC369" s="173"/>
      <c r="AD369" s="173"/>
      <c r="AE369" s="173"/>
      <c r="AF369" s="173"/>
      <c r="AG369" s="173"/>
      <c r="AH369" s="173"/>
      <c r="AI369" s="173"/>
      <c r="AJ369" s="173"/>
      <c r="AK369" s="173"/>
      <c r="AL369" s="173"/>
      <c r="AM369" s="173"/>
      <c r="AN369" s="173"/>
      <c r="AO369" s="173"/>
      <c r="AP369" s="173"/>
    </row>
    <row r="370" spans="6:42"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173"/>
      <c r="R370" s="173"/>
      <c r="S370" s="173"/>
      <c r="T370" s="173"/>
      <c r="U370" s="173"/>
      <c r="V370" s="173"/>
      <c r="W370" s="173"/>
      <c r="X370" s="173"/>
      <c r="Y370" s="173"/>
      <c r="Z370" s="173"/>
      <c r="AA370" s="173"/>
      <c r="AB370" s="173"/>
      <c r="AC370" s="173"/>
      <c r="AD370" s="173"/>
      <c r="AE370" s="173"/>
      <c r="AF370" s="173"/>
      <c r="AG370" s="173"/>
      <c r="AH370" s="173"/>
      <c r="AI370" s="173"/>
      <c r="AJ370" s="173"/>
      <c r="AK370" s="173"/>
      <c r="AL370" s="173"/>
      <c r="AM370" s="173"/>
      <c r="AN370" s="173"/>
      <c r="AO370" s="173"/>
      <c r="AP370" s="173"/>
    </row>
    <row r="371" spans="6:42"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173"/>
      <c r="R371" s="173"/>
      <c r="S371" s="173"/>
      <c r="T371" s="173"/>
      <c r="U371" s="173"/>
      <c r="V371" s="173"/>
      <c r="W371" s="173"/>
      <c r="X371" s="173"/>
      <c r="Y371" s="173"/>
      <c r="Z371" s="173"/>
      <c r="AA371" s="173"/>
      <c r="AB371" s="173"/>
      <c r="AC371" s="173"/>
      <c r="AD371" s="173"/>
      <c r="AE371" s="173"/>
      <c r="AF371" s="173"/>
      <c r="AG371" s="173"/>
      <c r="AH371" s="173"/>
      <c r="AI371" s="173"/>
      <c r="AJ371" s="173"/>
      <c r="AK371" s="173"/>
      <c r="AL371" s="173"/>
      <c r="AM371" s="173"/>
      <c r="AN371" s="173"/>
      <c r="AO371" s="173"/>
      <c r="AP371" s="173"/>
    </row>
    <row r="372" spans="6:42"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173"/>
      <c r="R372" s="173"/>
      <c r="S372" s="173"/>
      <c r="T372" s="173"/>
      <c r="U372" s="173"/>
      <c r="V372" s="173"/>
      <c r="W372" s="173"/>
      <c r="X372" s="173"/>
      <c r="Y372" s="173"/>
      <c r="Z372" s="173"/>
      <c r="AA372" s="173"/>
      <c r="AB372" s="173"/>
      <c r="AC372" s="173"/>
      <c r="AD372" s="173"/>
      <c r="AE372" s="173"/>
      <c r="AF372" s="173"/>
      <c r="AG372" s="173"/>
      <c r="AH372" s="173"/>
      <c r="AI372" s="173"/>
      <c r="AJ372" s="173"/>
      <c r="AK372" s="173"/>
      <c r="AL372" s="173"/>
      <c r="AM372" s="173"/>
      <c r="AN372" s="173"/>
      <c r="AO372" s="173"/>
      <c r="AP372" s="173"/>
    </row>
    <row r="373" spans="6:42"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173"/>
      <c r="R373" s="173"/>
      <c r="S373" s="173"/>
      <c r="T373" s="173"/>
      <c r="U373" s="173"/>
      <c r="V373" s="173"/>
      <c r="W373" s="173"/>
      <c r="X373" s="173"/>
      <c r="Y373" s="173"/>
      <c r="Z373" s="173"/>
      <c r="AA373" s="173"/>
      <c r="AB373" s="173"/>
      <c r="AC373" s="173"/>
      <c r="AD373" s="173"/>
      <c r="AE373" s="173"/>
      <c r="AF373" s="173"/>
      <c r="AG373" s="173"/>
      <c r="AH373" s="173"/>
      <c r="AI373" s="173"/>
      <c r="AJ373" s="173"/>
      <c r="AK373" s="173"/>
      <c r="AL373" s="173"/>
      <c r="AM373" s="173"/>
      <c r="AN373" s="173"/>
      <c r="AO373" s="173"/>
      <c r="AP373" s="173"/>
    </row>
    <row r="374" spans="6:42"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173"/>
      <c r="R374" s="173"/>
      <c r="S374" s="173"/>
      <c r="T374" s="173"/>
      <c r="U374" s="173"/>
      <c r="V374" s="173"/>
      <c r="W374" s="173"/>
      <c r="X374" s="173"/>
      <c r="Y374" s="173"/>
      <c r="Z374" s="173"/>
      <c r="AA374" s="173"/>
      <c r="AB374" s="173"/>
      <c r="AC374" s="173"/>
      <c r="AD374" s="173"/>
      <c r="AE374" s="173"/>
      <c r="AF374" s="173"/>
      <c r="AG374" s="173"/>
      <c r="AH374" s="173"/>
      <c r="AI374" s="173"/>
      <c r="AJ374" s="173"/>
      <c r="AK374" s="173"/>
      <c r="AL374" s="173"/>
      <c r="AM374" s="173"/>
      <c r="AN374" s="173"/>
      <c r="AO374" s="173"/>
      <c r="AP374" s="173"/>
    </row>
    <row r="375" spans="6:42"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173"/>
      <c r="R375" s="173"/>
      <c r="S375" s="173"/>
      <c r="T375" s="173"/>
      <c r="U375" s="173"/>
      <c r="V375" s="173"/>
      <c r="W375" s="173"/>
      <c r="X375" s="173"/>
      <c r="Y375" s="173"/>
      <c r="Z375" s="173"/>
      <c r="AA375" s="173"/>
      <c r="AB375" s="173"/>
      <c r="AC375" s="173"/>
      <c r="AD375" s="173"/>
      <c r="AE375" s="173"/>
      <c r="AF375" s="173"/>
      <c r="AG375" s="173"/>
      <c r="AH375" s="173"/>
      <c r="AI375" s="173"/>
      <c r="AJ375" s="173"/>
      <c r="AK375" s="173"/>
      <c r="AL375" s="173"/>
      <c r="AM375" s="173"/>
      <c r="AN375" s="173"/>
      <c r="AO375" s="173"/>
      <c r="AP375" s="173"/>
    </row>
    <row r="376" spans="6:42"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173"/>
      <c r="R376" s="173"/>
      <c r="S376" s="173"/>
      <c r="T376" s="173"/>
      <c r="U376" s="173"/>
      <c r="V376" s="173"/>
      <c r="W376" s="173"/>
      <c r="X376" s="173"/>
      <c r="Y376" s="173"/>
      <c r="Z376" s="173"/>
      <c r="AA376" s="173"/>
      <c r="AB376" s="173"/>
      <c r="AC376" s="173"/>
      <c r="AD376" s="173"/>
      <c r="AE376" s="173"/>
      <c r="AF376" s="173"/>
      <c r="AG376" s="173"/>
      <c r="AH376" s="173"/>
      <c r="AI376" s="173"/>
      <c r="AJ376" s="173"/>
      <c r="AK376" s="173"/>
      <c r="AL376" s="173"/>
      <c r="AM376" s="173"/>
      <c r="AN376" s="173"/>
      <c r="AO376" s="173"/>
      <c r="AP376" s="173"/>
    </row>
    <row r="377" spans="6:42"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173"/>
      <c r="R377" s="173"/>
      <c r="S377" s="173"/>
      <c r="T377" s="173"/>
      <c r="U377" s="173"/>
      <c r="V377" s="173"/>
      <c r="W377" s="173"/>
      <c r="X377" s="173"/>
      <c r="Y377" s="173"/>
      <c r="Z377" s="173"/>
      <c r="AA377" s="173"/>
      <c r="AB377" s="173"/>
      <c r="AC377" s="173"/>
      <c r="AD377" s="173"/>
      <c r="AE377" s="173"/>
      <c r="AF377" s="173"/>
      <c r="AG377" s="173"/>
      <c r="AH377" s="173"/>
      <c r="AI377" s="173"/>
      <c r="AJ377" s="173"/>
      <c r="AK377" s="173"/>
      <c r="AL377" s="173"/>
      <c r="AM377" s="173"/>
      <c r="AN377" s="173"/>
      <c r="AO377" s="173"/>
      <c r="AP377" s="173"/>
    </row>
    <row r="378" spans="6:42"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173"/>
      <c r="R378" s="173"/>
      <c r="S378" s="173"/>
      <c r="T378" s="173"/>
      <c r="U378" s="173"/>
      <c r="V378" s="173"/>
      <c r="W378" s="173"/>
      <c r="X378" s="173"/>
      <c r="Y378" s="173"/>
      <c r="Z378" s="173"/>
      <c r="AA378" s="173"/>
      <c r="AB378" s="173"/>
      <c r="AC378" s="173"/>
      <c r="AD378" s="173"/>
      <c r="AE378" s="173"/>
      <c r="AF378" s="173"/>
      <c r="AG378" s="173"/>
      <c r="AH378" s="173"/>
      <c r="AI378" s="173"/>
      <c r="AJ378" s="173"/>
      <c r="AK378" s="173"/>
      <c r="AL378" s="173"/>
      <c r="AM378" s="173"/>
      <c r="AN378" s="173"/>
      <c r="AO378" s="173"/>
      <c r="AP378" s="173"/>
    </row>
    <row r="379" spans="6:42"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/>
      <c r="Q379" s="173"/>
      <c r="R379" s="173"/>
      <c r="S379" s="173"/>
      <c r="T379" s="173"/>
      <c r="U379" s="173"/>
      <c r="V379" s="173"/>
      <c r="W379" s="173"/>
      <c r="X379" s="173"/>
      <c r="Y379" s="173"/>
      <c r="Z379" s="173"/>
      <c r="AA379" s="173"/>
      <c r="AB379" s="173"/>
      <c r="AC379" s="173"/>
      <c r="AD379" s="173"/>
      <c r="AE379" s="173"/>
      <c r="AF379" s="173"/>
      <c r="AG379" s="173"/>
      <c r="AH379" s="173"/>
      <c r="AI379" s="173"/>
      <c r="AJ379" s="173"/>
      <c r="AK379" s="173"/>
      <c r="AL379" s="173"/>
      <c r="AM379" s="173"/>
      <c r="AN379" s="173"/>
      <c r="AO379" s="173"/>
      <c r="AP379" s="173"/>
    </row>
    <row r="380" spans="6:42"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/>
      <c r="Q380" s="173"/>
      <c r="R380" s="173"/>
      <c r="S380" s="173"/>
      <c r="T380" s="173"/>
      <c r="U380" s="173"/>
      <c r="V380" s="173"/>
      <c r="W380" s="173"/>
      <c r="X380" s="173"/>
      <c r="Y380" s="173"/>
      <c r="Z380" s="173"/>
      <c r="AA380" s="173"/>
      <c r="AB380" s="173"/>
      <c r="AC380" s="173"/>
      <c r="AD380" s="173"/>
      <c r="AE380" s="173"/>
      <c r="AF380" s="173"/>
      <c r="AG380" s="173"/>
      <c r="AH380" s="173"/>
      <c r="AI380" s="173"/>
      <c r="AJ380" s="173"/>
      <c r="AK380" s="173"/>
      <c r="AL380" s="173"/>
      <c r="AM380" s="173"/>
      <c r="AN380" s="173"/>
      <c r="AO380" s="173"/>
      <c r="AP380" s="173"/>
    </row>
    <row r="381" spans="6:42"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/>
      <c r="Q381" s="173"/>
      <c r="R381" s="173"/>
      <c r="S381" s="173"/>
      <c r="T381" s="173"/>
      <c r="U381" s="173"/>
      <c r="V381" s="173"/>
      <c r="W381" s="173"/>
      <c r="X381" s="173"/>
      <c r="Y381" s="173"/>
      <c r="Z381" s="173"/>
      <c r="AA381" s="173"/>
      <c r="AB381" s="173"/>
      <c r="AC381" s="173"/>
      <c r="AD381" s="173"/>
      <c r="AE381" s="173"/>
      <c r="AF381" s="173"/>
      <c r="AG381" s="173"/>
      <c r="AH381" s="173"/>
      <c r="AI381" s="173"/>
      <c r="AJ381" s="173"/>
      <c r="AK381" s="173"/>
      <c r="AL381" s="173"/>
      <c r="AM381" s="173"/>
      <c r="AN381" s="173"/>
      <c r="AO381" s="173"/>
      <c r="AP381" s="173"/>
    </row>
    <row r="382" spans="6:42"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/>
      <c r="Q382" s="173"/>
      <c r="R382" s="173"/>
      <c r="S382" s="173"/>
      <c r="T382" s="173"/>
      <c r="U382" s="173"/>
      <c r="V382" s="173"/>
      <c r="W382" s="173"/>
      <c r="X382" s="173"/>
      <c r="Y382" s="173"/>
      <c r="Z382" s="173"/>
      <c r="AA382" s="173"/>
      <c r="AB382" s="173"/>
      <c r="AC382" s="173"/>
      <c r="AD382" s="173"/>
      <c r="AE382" s="173"/>
      <c r="AF382" s="173"/>
      <c r="AG382" s="173"/>
      <c r="AH382" s="173"/>
      <c r="AI382" s="173"/>
      <c r="AJ382" s="173"/>
      <c r="AK382" s="173"/>
      <c r="AL382" s="173"/>
      <c r="AM382" s="173"/>
      <c r="AN382" s="173"/>
      <c r="AO382" s="173"/>
      <c r="AP382" s="173"/>
    </row>
    <row r="383" spans="6:42"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/>
      <c r="Q383" s="173"/>
      <c r="R383" s="173"/>
      <c r="S383" s="173"/>
      <c r="T383" s="173"/>
      <c r="U383" s="173"/>
      <c r="V383" s="173"/>
      <c r="W383" s="173"/>
      <c r="X383" s="173"/>
      <c r="Y383" s="173"/>
      <c r="Z383" s="173"/>
      <c r="AA383" s="173"/>
      <c r="AB383" s="173"/>
      <c r="AC383" s="173"/>
      <c r="AD383" s="173"/>
      <c r="AE383" s="173"/>
      <c r="AF383" s="173"/>
      <c r="AG383" s="173"/>
      <c r="AH383" s="173"/>
      <c r="AI383" s="173"/>
      <c r="AJ383" s="173"/>
      <c r="AK383" s="173"/>
      <c r="AL383" s="173"/>
      <c r="AM383" s="173"/>
      <c r="AN383" s="173"/>
      <c r="AO383" s="173"/>
      <c r="AP383" s="173"/>
    </row>
    <row r="384" spans="6:42"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/>
      <c r="Q384" s="173"/>
      <c r="R384" s="173"/>
      <c r="S384" s="173"/>
      <c r="T384" s="173"/>
      <c r="U384" s="173"/>
      <c r="V384" s="173"/>
      <c r="W384" s="173"/>
      <c r="X384" s="173"/>
      <c r="Y384" s="173"/>
      <c r="Z384" s="173"/>
      <c r="AA384" s="173"/>
      <c r="AB384" s="173"/>
      <c r="AC384" s="173"/>
      <c r="AD384" s="173"/>
      <c r="AE384" s="173"/>
      <c r="AF384" s="173"/>
      <c r="AG384" s="173"/>
      <c r="AH384" s="173"/>
      <c r="AI384" s="173"/>
      <c r="AJ384" s="173"/>
      <c r="AK384" s="173"/>
      <c r="AL384" s="173"/>
      <c r="AM384" s="173"/>
      <c r="AN384" s="173"/>
      <c r="AO384" s="173"/>
      <c r="AP384" s="173"/>
    </row>
    <row r="385" spans="6:42"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/>
      <c r="Q385" s="173"/>
      <c r="R385" s="173"/>
      <c r="S385" s="173"/>
      <c r="T385" s="173"/>
      <c r="U385" s="173"/>
      <c r="V385" s="173"/>
      <c r="W385" s="173"/>
      <c r="X385" s="173"/>
      <c r="Y385" s="173"/>
      <c r="Z385" s="173"/>
      <c r="AA385" s="173"/>
      <c r="AB385" s="173"/>
      <c r="AC385" s="173"/>
      <c r="AD385" s="173"/>
      <c r="AE385" s="173"/>
      <c r="AF385" s="173"/>
      <c r="AG385" s="173"/>
      <c r="AH385" s="173"/>
      <c r="AI385" s="173"/>
      <c r="AJ385" s="173"/>
      <c r="AK385" s="173"/>
      <c r="AL385" s="173"/>
      <c r="AM385" s="173"/>
      <c r="AN385" s="173"/>
      <c r="AO385" s="173"/>
      <c r="AP385" s="173"/>
    </row>
    <row r="386" spans="6:42"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/>
      <c r="Q386" s="173"/>
      <c r="R386" s="173"/>
      <c r="S386" s="173"/>
      <c r="T386" s="173"/>
      <c r="U386" s="173"/>
      <c r="V386" s="173"/>
      <c r="W386" s="173"/>
      <c r="X386" s="173"/>
      <c r="Y386" s="173"/>
      <c r="Z386" s="173"/>
      <c r="AA386" s="173"/>
      <c r="AB386" s="173"/>
      <c r="AC386" s="173"/>
      <c r="AD386" s="173"/>
      <c r="AE386" s="173"/>
      <c r="AF386" s="173"/>
      <c r="AG386" s="173"/>
      <c r="AH386" s="173"/>
      <c r="AI386" s="173"/>
      <c r="AJ386" s="173"/>
      <c r="AK386" s="173"/>
      <c r="AL386" s="173"/>
      <c r="AM386" s="173"/>
      <c r="AN386" s="173"/>
      <c r="AO386" s="173"/>
      <c r="AP386" s="173"/>
    </row>
    <row r="387" spans="6:42"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/>
      <c r="Q387" s="173"/>
      <c r="R387" s="173"/>
      <c r="S387" s="173"/>
      <c r="T387" s="173"/>
      <c r="U387" s="173"/>
      <c r="V387" s="173"/>
      <c r="W387" s="173"/>
      <c r="X387" s="173"/>
      <c r="Y387" s="173"/>
      <c r="Z387" s="173"/>
      <c r="AA387" s="173"/>
      <c r="AB387" s="173"/>
      <c r="AC387" s="173"/>
      <c r="AD387" s="173"/>
      <c r="AE387" s="173"/>
      <c r="AF387" s="173"/>
      <c r="AG387" s="173"/>
      <c r="AH387" s="173"/>
      <c r="AI387" s="173"/>
      <c r="AJ387" s="173"/>
      <c r="AK387" s="173"/>
      <c r="AL387" s="173"/>
      <c r="AM387" s="173"/>
      <c r="AN387" s="173"/>
      <c r="AO387" s="173"/>
      <c r="AP387" s="173"/>
    </row>
    <row r="388" spans="6:42"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/>
      <c r="Q388" s="173"/>
      <c r="R388" s="173"/>
      <c r="S388" s="173"/>
      <c r="T388" s="173"/>
      <c r="U388" s="173"/>
      <c r="V388" s="173"/>
      <c r="W388" s="173"/>
      <c r="X388" s="173"/>
      <c r="Y388" s="173"/>
      <c r="Z388" s="173"/>
      <c r="AA388" s="173"/>
      <c r="AB388" s="173"/>
      <c r="AC388" s="173"/>
      <c r="AD388" s="173"/>
      <c r="AE388" s="173"/>
      <c r="AF388" s="173"/>
      <c r="AG388" s="173"/>
      <c r="AH388" s="173"/>
      <c r="AI388" s="173"/>
      <c r="AJ388" s="173"/>
      <c r="AK388" s="173"/>
      <c r="AL388" s="173"/>
      <c r="AM388" s="173"/>
      <c r="AN388" s="173"/>
      <c r="AO388" s="173"/>
      <c r="AP388" s="173"/>
    </row>
    <row r="389" spans="6:42"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/>
      <c r="Q389" s="173"/>
      <c r="R389" s="173"/>
      <c r="S389" s="173"/>
      <c r="T389" s="173"/>
      <c r="U389" s="173"/>
      <c r="V389" s="173"/>
      <c r="W389" s="173"/>
      <c r="X389" s="173"/>
      <c r="Y389" s="173"/>
      <c r="Z389" s="173"/>
      <c r="AA389" s="173"/>
      <c r="AB389" s="173"/>
      <c r="AC389" s="173"/>
      <c r="AD389" s="173"/>
      <c r="AE389" s="173"/>
      <c r="AF389" s="173"/>
      <c r="AG389" s="173"/>
      <c r="AH389" s="173"/>
      <c r="AI389" s="173"/>
      <c r="AJ389" s="173"/>
      <c r="AK389" s="173"/>
      <c r="AL389" s="173"/>
      <c r="AM389" s="173"/>
      <c r="AN389" s="173"/>
      <c r="AO389" s="173"/>
      <c r="AP389" s="173"/>
    </row>
    <row r="390" spans="6:42"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/>
      <c r="Q390" s="173"/>
      <c r="R390" s="173"/>
      <c r="S390" s="173"/>
      <c r="T390" s="173"/>
      <c r="U390" s="173"/>
      <c r="V390" s="173"/>
      <c r="W390" s="173"/>
      <c r="X390" s="173"/>
      <c r="Y390" s="173"/>
      <c r="Z390" s="173"/>
      <c r="AA390" s="173"/>
      <c r="AB390" s="173"/>
      <c r="AC390" s="173"/>
      <c r="AD390" s="173"/>
      <c r="AE390" s="173"/>
      <c r="AF390" s="173"/>
      <c r="AG390" s="173"/>
      <c r="AH390" s="173"/>
      <c r="AI390" s="173"/>
      <c r="AJ390" s="173"/>
      <c r="AK390" s="173"/>
      <c r="AL390" s="173"/>
      <c r="AM390" s="173"/>
      <c r="AN390" s="173"/>
      <c r="AO390" s="173"/>
      <c r="AP390" s="173"/>
    </row>
    <row r="391" spans="6:42"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/>
      <c r="Q391" s="173"/>
      <c r="R391" s="173"/>
      <c r="S391" s="173"/>
      <c r="T391" s="173"/>
      <c r="U391" s="173"/>
      <c r="V391" s="173"/>
      <c r="W391" s="173"/>
      <c r="X391" s="173"/>
      <c r="Y391" s="173"/>
      <c r="Z391" s="173"/>
      <c r="AA391" s="173"/>
      <c r="AB391" s="173"/>
      <c r="AC391" s="173"/>
      <c r="AD391" s="173"/>
      <c r="AE391" s="173"/>
      <c r="AF391" s="173"/>
      <c r="AG391" s="173"/>
      <c r="AH391" s="173"/>
      <c r="AI391" s="173"/>
      <c r="AJ391" s="173"/>
      <c r="AK391" s="173"/>
      <c r="AL391" s="173"/>
      <c r="AM391" s="173"/>
      <c r="AN391" s="173"/>
      <c r="AO391" s="173"/>
      <c r="AP391" s="173"/>
    </row>
    <row r="392" spans="6:42"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/>
      <c r="Q392" s="173"/>
      <c r="R392" s="173"/>
      <c r="S392" s="173"/>
      <c r="T392" s="173"/>
      <c r="U392" s="173"/>
      <c r="V392" s="173"/>
      <c r="W392" s="173"/>
      <c r="X392" s="173"/>
      <c r="Y392" s="173"/>
      <c r="Z392" s="173"/>
      <c r="AA392" s="173"/>
      <c r="AB392" s="173"/>
      <c r="AC392" s="173"/>
      <c r="AD392" s="173"/>
      <c r="AE392" s="173"/>
      <c r="AF392" s="173"/>
      <c r="AG392" s="173"/>
      <c r="AH392" s="173"/>
      <c r="AI392" s="173"/>
      <c r="AJ392" s="173"/>
      <c r="AK392" s="173"/>
      <c r="AL392" s="173"/>
      <c r="AM392" s="173"/>
      <c r="AN392" s="173"/>
      <c r="AO392" s="173"/>
      <c r="AP392" s="173"/>
    </row>
    <row r="393" spans="6:42"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/>
      <c r="Q393" s="173"/>
      <c r="R393" s="173"/>
      <c r="S393" s="173"/>
      <c r="T393" s="173"/>
      <c r="U393" s="173"/>
      <c r="V393" s="173"/>
      <c r="W393" s="173"/>
      <c r="X393" s="173"/>
      <c r="Y393" s="173"/>
      <c r="Z393" s="173"/>
      <c r="AA393" s="173"/>
      <c r="AB393" s="173"/>
      <c r="AC393" s="173"/>
      <c r="AD393" s="173"/>
      <c r="AE393" s="173"/>
      <c r="AF393" s="173"/>
      <c r="AG393" s="173"/>
      <c r="AH393" s="173"/>
      <c r="AI393" s="173"/>
      <c r="AJ393" s="173"/>
      <c r="AK393" s="173"/>
      <c r="AL393" s="173"/>
      <c r="AM393" s="173"/>
      <c r="AN393" s="173"/>
      <c r="AO393" s="173"/>
      <c r="AP393" s="173"/>
    </row>
    <row r="394" spans="6:42"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/>
      <c r="Q394" s="173"/>
      <c r="R394" s="173"/>
      <c r="S394" s="173"/>
      <c r="T394" s="173"/>
      <c r="U394" s="173"/>
      <c r="V394" s="173"/>
      <c r="W394" s="173"/>
      <c r="X394" s="173"/>
      <c r="Y394" s="173"/>
      <c r="Z394" s="173"/>
      <c r="AA394" s="173"/>
      <c r="AB394" s="173"/>
      <c r="AC394" s="173"/>
      <c r="AD394" s="173"/>
      <c r="AE394" s="173"/>
      <c r="AF394" s="173"/>
      <c r="AG394" s="173"/>
      <c r="AH394" s="173"/>
      <c r="AI394" s="173"/>
      <c r="AJ394" s="173"/>
      <c r="AK394" s="173"/>
      <c r="AL394" s="173"/>
      <c r="AM394" s="173"/>
      <c r="AN394" s="173"/>
      <c r="AO394" s="173"/>
      <c r="AP394" s="173"/>
    </row>
    <row r="395" spans="6:42"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/>
      <c r="Q395" s="173"/>
      <c r="R395" s="173"/>
      <c r="S395" s="173"/>
      <c r="T395" s="173"/>
      <c r="U395" s="173"/>
      <c r="V395" s="173"/>
      <c r="W395" s="173"/>
      <c r="X395" s="173"/>
      <c r="Y395" s="173"/>
      <c r="Z395" s="173"/>
      <c r="AA395" s="173"/>
      <c r="AB395" s="173"/>
      <c r="AC395" s="173"/>
      <c r="AD395" s="173"/>
      <c r="AE395" s="173"/>
      <c r="AF395" s="173"/>
      <c r="AG395" s="173"/>
      <c r="AH395" s="173"/>
      <c r="AI395" s="173"/>
      <c r="AJ395" s="173"/>
      <c r="AK395" s="173"/>
      <c r="AL395" s="173"/>
      <c r="AM395" s="173"/>
      <c r="AN395" s="173"/>
      <c r="AO395" s="173"/>
      <c r="AP395" s="173"/>
    </row>
    <row r="396" spans="6:42"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/>
      <c r="Q396" s="173"/>
      <c r="R396" s="173"/>
      <c r="S396" s="173"/>
      <c r="T396" s="173"/>
      <c r="U396" s="173"/>
      <c r="V396" s="173"/>
      <c r="W396" s="173"/>
      <c r="X396" s="173"/>
      <c r="Y396" s="173"/>
      <c r="Z396" s="173"/>
      <c r="AA396" s="173"/>
      <c r="AB396" s="173"/>
      <c r="AC396" s="173"/>
      <c r="AD396" s="173"/>
      <c r="AE396" s="173"/>
      <c r="AF396" s="173"/>
      <c r="AG396" s="173"/>
      <c r="AH396" s="173"/>
      <c r="AI396" s="173"/>
      <c r="AJ396" s="173"/>
      <c r="AK396" s="173"/>
      <c r="AL396" s="173"/>
      <c r="AM396" s="173"/>
      <c r="AN396" s="173"/>
      <c r="AO396" s="173"/>
      <c r="AP396" s="173"/>
    </row>
    <row r="397" spans="6:42"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/>
      <c r="Q397" s="173"/>
      <c r="R397" s="173"/>
      <c r="S397" s="173"/>
      <c r="T397" s="173"/>
      <c r="U397" s="173"/>
      <c r="V397" s="173"/>
      <c r="W397" s="173"/>
      <c r="X397" s="173"/>
      <c r="Y397" s="173"/>
      <c r="Z397" s="173"/>
      <c r="AA397" s="173"/>
      <c r="AB397" s="173"/>
      <c r="AC397" s="173"/>
      <c r="AD397" s="173"/>
      <c r="AE397" s="173"/>
      <c r="AF397" s="173"/>
      <c r="AG397" s="173"/>
      <c r="AH397" s="173"/>
      <c r="AI397" s="173"/>
      <c r="AJ397" s="173"/>
      <c r="AK397" s="173"/>
      <c r="AL397" s="173"/>
      <c r="AM397" s="173"/>
      <c r="AN397" s="173"/>
      <c r="AO397" s="173"/>
      <c r="AP397" s="173"/>
    </row>
    <row r="398" spans="6:42"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/>
      <c r="Q398" s="173"/>
      <c r="R398" s="173"/>
      <c r="S398" s="173"/>
      <c r="T398" s="173"/>
      <c r="U398" s="173"/>
      <c r="V398" s="173"/>
      <c r="W398" s="173"/>
      <c r="X398" s="173"/>
      <c r="Y398" s="173"/>
      <c r="Z398" s="173"/>
      <c r="AA398" s="173"/>
      <c r="AB398" s="173"/>
      <c r="AC398" s="173"/>
      <c r="AD398" s="173"/>
      <c r="AE398" s="173"/>
      <c r="AF398" s="173"/>
      <c r="AG398" s="173"/>
      <c r="AH398" s="173"/>
      <c r="AI398" s="173"/>
      <c r="AJ398" s="173"/>
      <c r="AK398" s="173"/>
      <c r="AL398" s="173"/>
      <c r="AM398" s="173"/>
      <c r="AN398" s="173"/>
      <c r="AO398" s="173"/>
      <c r="AP398" s="173"/>
    </row>
    <row r="399" spans="6:42">
      <c r="F399" s="692"/>
      <c r="G399" s="692"/>
      <c r="H399" s="692"/>
      <c r="I399" s="692"/>
      <c r="J399" s="692"/>
      <c r="K399" s="692"/>
      <c r="L399" s="692"/>
      <c r="M399" s="692"/>
      <c r="N399" s="692"/>
      <c r="O399" s="692"/>
      <c r="P399" s="692"/>
      <c r="Q399" s="173"/>
      <c r="R399" s="173"/>
      <c r="S399" s="173"/>
      <c r="T399" s="173"/>
      <c r="U399" s="173"/>
      <c r="V399" s="173"/>
      <c r="W399" s="173"/>
      <c r="X399" s="173"/>
      <c r="Y399" s="173"/>
      <c r="Z399" s="173"/>
      <c r="AA399" s="173"/>
      <c r="AB399" s="173"/>
      <c r="AC399" s="173"/>
      <c r="AD399" s="173"/>
      <c r="AE399" s="173"/>
      <c r="AF399" s="173"/>
      <c r="AG399" s="173"/>
      <c r="AH399" s="173"/>
      <c r="AI399" s="173"/>
      <c r="AJ399" s="173"/>
      <c r="AK399" s="173"/>
      <c r="AL399" s="173"/>
      <c r="AM399" s="173"/>
      <c r="AN399" s="173"/>
      <c r="AO399" s="173"/>
      <c r="AP399" s="173"/>
    </row>
    <row r="400" spans="6:42">
      <c r="F400" s="692"/>
      <c r="G400" s="692"/>
      <c r="H400" s="692"/>
      <c r="I400" s="692"/>
      <c r="J400" s="692"/>
      <c r="K400" s="692"/>
      <c r="L400" s="692"/>
      <c r="M400" s="692"/>
      <c r="N400" s="692"/>
      <c r="O400" s="692"/>
      <c r="P400" s="692"/>
      <c r="Q400" s="173"/>
      <c r="R400" s="173"/>
      <c r="S400" s="173"/>
      <c r="T400" s="173"/>
      <c r="U400" s="173"/>
      <c r="V400" s="173"/>
      <c r="W400" s="173"/>
      <c r="X400" s="173"/>
      <c r="Y400" s="173"/>
      <c r="Z400" s="173"/>
      <c r="AA400" s="173"/>
      <c r="AB400" s="173"/>
      <c r="AC400" s="173"/>
      <c r="AD400" s="173"/>
      <c r="AE400" s="173"/>
      <c r="AF400" s="173"/>
      <c r="AG400" s="173"/>
      <c r="AH400" s="173"/>
      <c r="AI400" s="173"/>
      <c r="AJ400" s="173"/>
      <c r="AK400" s="173"/>
      <c r="AL400" s="173"/>
      <c r="AM400" s="173"/>
      <c r="AN400" s="173"/>
      <c r="AO400" s="173"/>
      <c r="AP400" s="173"/>
    </row>
    <row r="401" spans="1:42">
      <c r="F401" s="692"/>
      <c r="G401" s="692"/>
      <c r="H401" s="692"/>
      <c r="I401" s="692"/>
      <c r="J401" s="692"/>
      <c r="K401" s="692"/>
      <c r="L401" s="692"/>
      <c r="M401" s="692"/>
      <c r="N401" s="692"/>
      <c r="O401" s="692"/>
      <c r="P401" s="692"/>
      <c r="Q401" s="173"/>
      <c r="R401" s="173"/>
      <c r="S401" s="173"/>
      <c r="T401" s="173"/>
      <c r="U401" s="173"/>
      <c r="V401" s="173"/>
      <c r="W401" s="173"/>
      <c r="X401" s="173"/>
      <c r="Y401" s="173"/>
      <c r="Z401" s="173"/>
      <c r="AA401" s="173"/>
      <c r="AB401" s="173"/>
      <c r="AC401" s="173"/>
      <c r="AD401" s="173"/>
      <c r="AE401" s="173"/>
      <c r="AF401" s="173"/>
      <c r="AG401" s="173"/>
      <c r="AH401" s="173"/>
      <c r="AI401" s="173"/>
      <c r="AJ401" s="173"/>
      <c r="AK401" s="173"/>
      <c r="AL401" s="173"/>
      <c r="AM401" s="173"/>
      <c r="AN401" s="173"/>
      <c r="AO401" s="173"/>
      <c r="AP401" s="173"/>
    </row>
    <row r="402" spans="1:42">
      <c r="F402" s="692"/>
      <c r="G402" s="692"/>
      <c r="H402" s="692"/>
      <c r="I402" s="692"/>
      <c r="J402" s="692"/>
      <c r="K402" s="692"/>
      <c r="L402" s="692"/>
      <c r="M402" s="692"/>
      <c r="N402" s="692"/>
      <c r="O402" s="692"/>
      <c r="P402" s="692"/>
      <c r="Q402" s="173"/>
      <c r="R402" s="173"/>
      <c r="S402" s="173"/>
      <c r="T402" s="173"/>
      <c r="U402" s="173"/>
      <c r="V402" s="173"/>
      <c r="W402" s="173"/>
      <c r="X402" s="173"/>
      <c r="Y402" s="173"/>
      <c r="Z402" s="173"/>
      <c r="AA402" s="173"/>
      <c r="AB402" s="173"/>
      <c r="AC402" s="173"/>
      <c r="AD402" s="173"/>
      <c r="AE402" s="173"/>
      <c r="AF402" s="173"/>
      <c r="AG402" s="173"/>
      <c r="AH402" s="173"/>
      <c r="AI402" s="173"/>
      <c r="AJ402" s="173"/>
      <c r="AK402" s="173"/>
      <c r="AL402" s="173"/>
      <c r="AM402" s="173"/>
      <c r="AN402" s="173"/>
      <c r="AO402" s="173"/>
      <c r="AP402" s="173"/>
    </row>
    <row r="403" spans="1:42">
      <c r="F403" s="692"/>
      <c r="G403" s="692"/>
      <c r="H403" s="692"/>
      <c r="I403" s="692"/>
      <c r="J403" s="692"/>
      <c r="K403" s="692"/>
      <c r="L403" s="692"/>
      <c r="M403" s="692"/>
      <c r="N403" s="692"/>
      <c r="O403" s="692"/>
      <c r="P403" s="692"/>
      <c r="Q403" s="173"/>
      <c r="R403" s="173"/>
      <c r="S403" s="173"/>
      <c r="T403" s="173"/>
      <c r="U403" s="173"/>
      <c r="V403" s="173"/>
      <c r="W403" s="173"/>
      <c r="X403" s="173"/>
      <c r="Y403" s="173"/>
      <c r="Z403" s="173"/>
      <c r="AA403" s="173"/>
      <c r="AB403" s="173"/>
      <c r="AC403" s="173"/>
      <c r="AD403" s="173"/>
      <c r="AE403" s="173"/>
      <c r="AF403" s="173"/>
      <c r="AG403" s="173"/>
      <c r="AH403" s="173"/>
      <c r="AI403" s="173"/>
      <c r="AJ403" s="173"/>
      <c r="AK403" s="173"/>
      <c r="AL403" s="173"/>
      <c r="AM403" s="173"/>
      <c r="AN403" s="173"/>
      <c r="AO403" s="173"/>
      <c r="AP403" s="173"/>
    </row>
    <row r="404" spans="1:42" ht="12.75" customHeight="1">
      <c r="F404" s="692"/>
      <c r="G404" s="692"/>
      <c r="H404" s="692"/>
      <c r="I404" s="692"/>
      <c r="J404" s="692"/>
      <c r="K404" s="692"/>
      <c r="L404" s="692"/>
      <c r="M404" s="692"/>
      <c r="N404" s="692"/>
      <c r="O404" s="692"/>
      <c r="P404" s="692"/>
      <c r="Q404" s="173"/>
      <c r="R404" s="173"/>
      <c r="S404" s="173"/>
      <c r="T404" s="173"/>
      <c r="U404" s="173"/>
      <c r="V404" s="173"/>
      <c r="W404" s="173"/>
      <c r="X404" s="173"/>
      <c r="Y404" s="173"/>
      <c r="Z404" s="173"/>
      <c r="AA404" s="173"/>
      <c r="AB404" s="173"/>
      <c r="AC404" s="173"/>
      <c r="AD404" s="173"/>
      <c r="AE404" s="173"/>
      <c r="AF404" s="173"/>
      <c r="AG404" s="173"/>
      <c r="AH404" s="173"/>
      <c r="AI404" s="173"/>
      <c r="AJ404" s="173"/>
      <c r="AK404" s="173"/>
      <c r="AL404" s="173"/>
      <c r="AM404" s="173"/>
      <c r="AN404" s="173"/>
      <c r="AO404" s="173"/>
      <c r="AP404" s="173"/>
    </row>
    <row r="405" spans="1:42" ht="12.75" customHeight="1">
      <c r="F405" s="692"/>
      <c r="G405" s="692"/>
      <c r="H405" s="692"/>
      <c r="I405" s="692"/>
      <c r="J405" s="692"/>
      <c r="K405" s="692"/>
      <c r="L405" s="692"/>
      <c r="M405" s="692"/>
      <c r="N405" s="692"/>
      <c r="O405" s="692"/>
      <c r="P405" s="692"/>
      <c r="Q405" s="173"/>
      <c r="R405" s="173"/>
      <c r="S405" s="173"/>
      <c r="T405" s="173"/>
      <c r="U405" s="173"/>
      <c r="V405" s="173"/>
      <c r="W405" s="173"/>
      <c r="X405" s="173"/>
      <c r="Y405" s="173"/>
      <c r="Z405" s="173"/>
      <c r="AA405" s="173"/>
      <c r="AB405" s="173"/>
      <c r="AC405" s="173"/>
      <c r="AD405" s="173"/>
      <c r="AE405" s="173"/>
      <c r="AF405" s="173"/>
      <c r="AG405" s="173"/>
      <c r="AH405" s="173"/>
      <c r="AI405" s="173"/>
      <c r="AJ405" s="173"/>
      <c r="AK405" s="173"/>
      <c r="AL405" s="173"/>
      <c r="AM405" s="173"/>
      <c r="AN405" s="173"/>
      <c r="AO405" s="173"/>
      <c r="AP405" s="173"/>
    </row>
    <row r="406" spans="1:42">
      <c r="A406" s="727"/>
      <c r="B406" s="727"/>
      <c r="C406" s="727"/>
      <c r="D406" s="727"/>
      <c r="E406" s="727"/>
      <c r="F406" s="692"/>
      <c r="G406" s="692"/>
      <c r="H406" s="692"/>
      <c r="I406" s="692"/>
      <c r="J406" s="692"/>
      <c r="K406" s="692"/>
      <c r="L406" s="692"/>
      <c r="M406" s="692"/>
      <c r="N406" s="692"/>
      <c r="O406" s="692"/>
      <c r="P406" s="692"/>
      <c r="Q406" s="173"/>
      <c r="R406" s="173"/>
      <c r="S406" s="173"/>
      <c r="T406" s="173"/>
      <c r="U406" s="173"/>
      <c r="V406" s="173"/>
      <c r="W406" s="173"/>
      <c r="X406" s="173"/>
      <c r="Y406" s="173"/>
      <c r="Z406" s="173"/>
      <c r="AA406" s="173"/>
      <c r="AB406" s="173"/>
      <c r="AC406" s="173"/>
      <c r="AD406" s="173"/>
      <c r="AE406" s="173"/>
      <c r="AF406" s="173"/>
      <c r="AG406" s="173"/>
      <c r="AH406" s="173"/>
      <c r="AI406" s="173"/>
      <c r="AJ406" s="173"/>
      <c r="AK406" s="173"/>
      <c r="AL406" s="173"/>
      <c r="AM406" s="173"/>
      <c r="AN406" s="173"/>
      <c r="AO406" s="173"/>
      <c r="AP406" s="173"/>
    </row>
    <row r="407" spans="1:42">
      <c r="F407" s="692"/>
      <c r="G407" s="692"/>
      <c r="H407" s="692"/>
      <c r="I407" s="692"/>
      <c r="J407" s="692"/>
      <c r="K407" s="692"/>
      <c r="L407" s="692"/>
      <c r="M407" s="692"/>
      <c r="N407" s="692"/>
      <c r="O407" s="692"/>
      <c r="P407" s="692"/>
      <c r="Q407" s="173"/>
      <c r="R407" s="173"/>
      <c r="S407" s="173"/>
      <c r="T407" s="173"/>
      <c r="U407" s="173"/>
      <c r="V407" s="173"/>
      <c r="W407" s="173"/>
      <c r="X407" s="173"/>
      <c r="Y407" s="173"/>
      <c r="Z407" s="173"/>
      <c r="AA407" s="173"/>
      <c r="AB407" s="173"/>
      <c r="AC407" s="173"/>
      <c r="AD407" s="173"/>
      <c r="AE407" s="173"/>
      <c r="AF407" s="173"/>
      <c r="AG407" s="173"/>
      <c r="AH407" s="173"/>
      <c r="AI407" s="173"/>
      <c r="AJ407" s="173"/>
      <c r="AK407" s="173"/>
      <c r="AL407" s="173"/>
      <c r="AM407" s="173"/>
      <c r="AN407" s="173"/>
      <c r="AO407" s="173"/>
      <c r="AP407" s="173"/>
    </row>
    <row r="408" spans="1:42">
      <c r="F408" s="692"/>
      <c r="G408" s="692"/>
      <c r="H408" s="692"/>
      <c r="I408" s="692"/>
      <c r="J408" s="692"/>
      <c r="K408" s="692"/>
      <c r="L408" s="692"/>
      <c r="M408" s="692"/>
      <c r="N408" s="692"/>
      <c r="O408" s="692"/>
      <c r="P408" s="692"/>
      <c r="Q408" s="173"/>
      <c r="R408" s="173"/>
      <c r="S408" s="173"/>
      <c r="T408" s="173"/>
      <c r="U408" s="173"/>
      <c r="V408" s="173"/>
      <c r="W408" s="173"/>
      <c r="X408" s="173"/>
      <c r="Y408" s="173"/>
      <c r="Z408" s="173"/>
      <c r="AA408" s="173"/>
      <c r="AB408" s="173"/>
      <c r="AC408" s="173"/>
      <c r="AD408" s="173"/>
      <c r="AE408" s="173"/>
      <c r="AF408" s="173"/>
      <c r="AG408" s="173"/>
      <c r="AH408" s="173"/>
      <c r="AI408" s="173"/>
      <c r="AJ408" s="173"/>
      <c r="AK408" s="173"/>
      <c r="AL408" s="173"/>
      <c r="AM408" s="173"/>
      <c r="AN408" s="173"/>
      <c r="AO408" s="173"/>
      <c r="AP408" s="173"/>
    </row>
    <row r="409" spans="1:42">
      <c r="F409" s="692"/>
      <c r="G409" s="692"/>
      <c r="H409" s="692"/>
      <c r="I409" s="692"/>
      <c r="J409" s="692"/>
      <c r="K409" s="692"/>
      <c r="L409" s="692"/>
      <c r="M409" s="692"/>
      <c r="N409" s="692"/>
      <c r="O409" s="692"/>
      <c r="P409" s="692"/>
      <c r="Q409" s="173"/>
      <c r="R409" s="173"/>
      <c r="S409" s="173"/>
      <c r="T409" s="173"/>
      <c r="U409" s="173"/>
      <c r="V409" s="173"/>
      <c r="W409" s="173"/>
      <c r="X409" s="173"/>
      <c r="Y409" s="173"/>
      <c r="Z409" s="173"/>
      <c r="AA409" s="173"/>
      <c r="AB409" s="173"/>
      <c r="AC409" s="173"/>
      <c r="AD409" s="173"/>
      <c r="AE409" s="173"/>
      <c r="AF409" s="173"/>
      <c r="AG409" s="173"/>
      <c r="AH409" s="173"/>
      <c r="AI409" s="173"/>
      <c r="AJ409" s="173"/>
      <c r="AK409" s="173"/>
      <c r="AL409" s="173"/>
      <c r="AM409" s="173"/>
      <c r="AN409" s="173"/>
      <c r="AO409" s="173"/>
      <c r="AP409" s="173"/>
    </row>
    <row r="410" spans="1:42">
      <c r="F410" s="692"/>
      <c r="G410" s="692"/>
      <c r="H410" s="692"/>
      <c r="I410" s="692"/>
      <c r="J410" s="692"/>
      <c r="K410" s="692"/>
      <c r="L410" s="692"/>
      <c r="M410" s="692"/>
      <c r="N410" s="692"/>
      <c r="O410" s="692"/>
      <c r="P410" s="692"/>
      <c r="Q410" s="173"/>
      <c r="R410" s="173"/>
      <c r="S410" s="173"/>
      <c r="T410" s="173"/>
      <c r="U410" s="173"/>
      <c r="V410" s="173"/>
      <c r="W410" s="173"/>
      <c r="X410" s="173"/>
      <c r="Y410" s="173"/>
      <c r="Z410" s="173"/>
      <c r="AA410" s="173"/>
      <c r="AB410" s="173"/>
      <c r="AC410" s="173"/>
      <c r="AD410" s="173"/>
      <c r="AE410" s="173"/>
      <c r="AF410" s="173"/>
      <c r="AG410" s="173"/>
      <c r="AH410" s="173"/>
      <c r="AI410" s="173"/>
      <c r="AJ410" s="173"/>
      <c r="AK410" s="173"/>
      <c r="AL410" s="173"/>
      <c r="AM410" s="173"/>
      <c r="AN410" s="173"/>
      <c r="AO410" s="173"/>
      <c r="AP410" s="173"/>
    </row>
    <row r="411" spans="1:42">
      <c r="F411" s="727"/>
      <c r="G411" s="727"/>
      <c r="H411" s="692"/>
      <c r="I411" s="692"/>
      <c r="J411" s="692"/>
      <c r="K411" s="692"/>
      <c r="L411" s="692"/>
      <c r="M411" s="692"/>
      <c r="N411" s="692"/>
      <c r="O411" s="692"/>
      <c r="P411" s="692"/>
      <c r="Q411" s="173"/>
      <c r="R411" s="173"/>
      <c r="S411" s="173"/>
      <c r="T411" s="173"/>
      <c r="U411" s="173"/>
      <c r="V411" s="173"/>
      <c r="W411" s="173"/>
      <c r="X411" s="173"/>
      <c r="Y411" s="173"/>
      <c r="Z411" s="173"/>
      <c r="AA411" s="173"/>
      <c r="AB411" s="173"/>
      <c r="AC411" s="173"/>
      <c r="AD411" s="173"/>
      <c r="AE411" s="173"/>
      <c r="AF411" s="173"/>
      <c r="AG411" s="173"/>
      <c r="AH411" s="173"/>
      <c r="AI411" s="173"/>
      <c r="AJ411" s="173"/>
      <c r="AK411" s="173"/>
      <c r="AL411" s="173"/>
      <c r="AM411" s="173"/>
      <c r="AN411" s="173"/>
      <c r="AO411" s="173"/>
      <c r="AP411" s="173"/>
    </row>
    <row r="412" spans="1:42"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173"/>
      <c r="R412" s="173"/>
      <c r="S412" s="173"/>
      <c r="T412" s="173"/>
      <c r="U412" s="173"/>
      <c r="V412" s="173"/>
      <c r="W412" s="173"/>
      <c r="X412" s="173"/>
      <c r="Y412" s="173"/>
      <c r="Z412" s="173"/>
      <c r="AA412" s="173"/>
      <c r="AB412" s="173"/>
      <c r="AC412" s="173"/>
      <c r="AD412" s="173"/>
      <c r="AE412" s="173"/>
      <c r="AF412" s="173"/>
      <c r="AG412" s="173"/>
      <c r="AH412" s="173"/>
      <c r="AI412" s="173"/>
      <c r="AJ412" s="173"/>
      <c r="AK412" s="173"/>
      <c r="AL412" s="173"/>
      <c r="AM412" s="173"/>
      <c r="AN412" s="173"/>
      <c r="AO412" s="173"/>
      <c r="AP412" s="173"/>
    </row>
    <row r="413" spans="1:42"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173"/>
      <c r="R413" s="173"/>
      <c r="S413" s="173"/>
      <c r="T413" s="173"/>
      <c r="U413" s="173"/>
      <c r="V413" s="173"/>
      <c r="W413" s="173"/>
      <c r="X413" s="173"/>
      <c r="Y413" s="173"/>
      <c r="Z413" s="173"/>
      <c r="AA413" s="173"/>
      <c r="AB413" s="173"/>
      <c r="AC413" s="173"/>
      <c r="AD413" s="173"/>
      <c r="AE413" s="173"/>
      <c r="AF413" s="173"/>
      <c r="AG413" s="173"/>
      <c r="AH413" s="173"/>
      <c r="AI413" s="173"/>
      <c r="AJ413" s="173"/>
      <c r="AK413" s="173"/>
      <c r="AL413" s="173"/>
      <c r="AM413" s="173"/>
      <c r="AN413" s="173"/>
      <c r="AO413" s="173"/>
      <c r="AP413" s="173"/>
    </row>
    <row r="414" spans="1:42"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173"/>
      <c r="R414" s="173"/>
      <c r="S414" s="173"/>
      <c r="T414" s="173"/>
      <c r="U414" s="173"/>
      <c r="V414" s="173"/>
      <c r="W414" s="173"/>
      <c r="X414" s="173"/>
      <c r="Y414" s="173"/>
      <c r="Z414" s="173"/>
      <c r="AA414" s="173"/>
      <c r="AB414" s="173"/>
      <c r="AC414" s="173"/>
      <c r="AD414" s="173"/>
      <c r="AE414" s="173"/>
      <c r="AF414" s="173"/>
      <c r="AG414" s="173"/>
      <c r="AH414" s="173"/>
      <c r="AI414" s="173"/>
      <c r="AJ414" s="173"/>
      <c r="AK414" s="173"/>
      <c r="AL414" s="173"/>
      <c r="AM414" s="173"/>
      <c r="AN414" s="173"/>
      <c r="AO414" s="173"/>
      <c r="AP414" s="173"/>
    </row>
    <row r="415" spans="1:42"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173"/>
      <c r="R415" s="173"/>
      <c r="S415" s="173"/>
      <c r="T415" s="173"/>
      <c r="U415" s="173"/>
      <c r="V415" s="173"/>
      <c r="W415" s="173"/>
      <c r="X415" s="173"/>
      <c r="Y415" s="173"/>
      <c r="Z415" s="173"/>
      <c r="AA415" s="173"/>
      <c r="AB415" s="173"/>
      <c r="AC415" s="173"/>
      <c r="AD415" s="173"/>
      <c r="AE415" s="173"/>
      <c r="AF415" s="173"/>
      <c r="AG415" s="173"/>
      <c r="AH415" s="173"/>
      <c r="AI415" s="173"/>
      <c r="AJ415" s="173"/>
      <c r="AK415" s="173"/>
      <c r="AL415" s="173"/>
      <c r="AM415" s="173"/>
      <c r="AN415" s="173"/>
      <c r="AO415" s="173"/>
      <c r="AP415" s="173"/>
    </row>
    <row r="416" spans="1:42"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173"/>
      <c r="R416" s="173"/>
      <c r="S416" s="173"/>
      <c r="T416" s="173"/>
      <c r="U416" s="173"/>
      <c r="V416" s="173"/>
      <c r="W416" s="173"/>
      <c r="X416" s="173"/>
      <c r="Y416" s="173"/>
      <c r="Z416" s="173"/>
      <c r="AA416" s="173"/>
      <c r="AB416" s="173"/>
      <c r="AC416" s="173"/>
      <c r="AD416" s="173"/>
      <c r="AE416" s="173"/>
      <c r="AF416" s="173"/>
      <c r="AG416" s="173"/>
      <c r="AH416" s="173"/>
      <c r="AI416" s="173"/>
      <c r="AJ416" s="173"/>
      <c r="AK416" s="173"/>
      <c r="AL416" s="173"/>
      <c r="AM416" s="173"/>
      <c r="AN416" s="173"/>
      <c r="AO416" s="173"/>
      <c r="AP416" s="173"/>
    </row>
    <row r="417" spans="6:42"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173"/>
      <c r="R417" s="173"/>
      <c r="S417" s="173"/>
      <c r="T417" s="173"/>
      <c r="U417" s="173"/>
      <c r="V417" s="173"/>
      <c r="W417" s="173"/>
      <c r="X417" s="173"/>
      <c r="Y417" s="173"/>
      <c r="Z417" s="173"/>
      <c r="AA417" s="173"/>
      <c r="AB417" s="173"/>
      <c r="AC417" s="173"/>
      <c r="AD417" s="173"/>
      <c r="AE417" s="173"/>
      <c r="AF417" s="173"/>
      <c r="AG417" s="173"/>
      <c r="AH417" s="173"/>
      <c r="AI417" s="173"/>
      <c r="AJ417" s="173"/>
      <c r="AK417" s="173"/>
      <c r="AL417" s="173"/>
      <c r="AM417" s="173"/>
      <c r="AN417" s="173"/>
      <c r="AO417" s="173"/>
      <c r="AP417" s="173"/>
    </row>
    <row r="418" spans="6:42"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173"/>
      <c r="R418" s="173"/>
      <c r="S418" s="173"/>
      <c r="T418" s="173"/>
      <c r="U418" s="173"/>
      <c r="V418" s="173"/>
      <c r="W418" s="173"/>
      <c r="X418" s="173"/>
      <c r="Y418" s="173"/>
      <c r="Z418" s="173"/>
      <c r="AA418" s="173"/>
      <c r="AB418" s="173"/>
      <c r="AC418" s="173"/>
      <c r="AD418" s="173"/>
      <c r="AE418" s="173"/>
      <c r="AF418" s="173"/>
      <c r="AG418" s="173"/>
      <c r="AH418" s="173"/>
      <c r="AI418" s="173"/>
      <c r="AJ418" s="173"/>
      <c r="AK418" s="173"/>
      <c r="AL418" s="173"/>
      <c r="AM418" s="173"/>
      <c r="AN418" s="173"/>
      <c r="AO418" s="173"/>
      <c r="AP418" s="173"/>
    </row>
    <row r="419" spans="6:42">
      <c r="F419" s="692"/>
      <c r="G419" s="692"/>
      <c r="H419" s="692"/>
      <c r="I419" s="692"/>
      <c r="J419" s="692"/>
      <c r="K419" s="692"/>
      <c r="L419" s="692"/>
      <c r="M419" s="692"/>
      <c r="N419" s="692"/>
      <c r="O419" s="692"/>
      <c r="P419" s="692"/>
      <c r="Q419" s="173"/>
      <c r="R419" s="173"/>
      <c r="S419" s="173"/>
      <c r="T419" s="173"/>
      <c r="U419" s="173"/>
      <c r="V419" s="173"/>
      <c r="W419" s="173"/>
      <c r="X419" s="173"/>
      <c r="Y419" s="173"/>
      <c r="Z419" s="173"/>
      <c r="AA419" s="173"/>
      <c r="AB419" s="173"/>
      <c r="AC419" s="173"/>
      <c r="AD419" s="173"/>
      <c r="AE419" s="173"/>
      <c r="AF419" s="173"/>
      <c r="AG419" s="173"/>
      <c r="AH419" s="173"/>
      <c r="AI419" s="173"/>
      <c r="AJ419" s="173"/>
      <c r="AK419" s="173"/>
      <c r="AL419" s="173"/>
      <c r="AM419" s="173"/>
      <c r="AN419" s="173"/>
      <c r="AO419" s="173"/>
      <c r="AP419" s="173"/>
    </row>
    <row r="420" spans="6:42">
      <c r="F420" s="727"/>
      <c r="G420" s="692"/>
      <c r="H420" s="692"/>
      <c r="I420" s="692"/>
      <c r="J420" s="692"/>
      <c r="K420" s="692"/>
      <c r="L420" s="692"/>
      <c r="M420" s="692"/>
      <c r="N420" s="692"/>
      <c r="O420" s="692"/>
      <c r="P420" s="692"/>
      <c r="Q420" s="173"/>
      <c r="R420" s="173"/>
      <c r="S420" s="173"/>
      <c r="T420" s="173"/>
      <c r="U420" s="173"/>
      <c r="V420" s="173"/>
      <c r="W420" s="173"/>
      <c r="X420" s="173"/>
      <c r="Y420" s="173"/>
      <c r="Z420" s="173"/>
      <c r="AA420" s="173"/>
      <c r="AB420" s="173"/>
      <c r="AC420" s="173"/>
      <c r="AD420" s="173"/>
      <c r="AE420" s="173"/>
      <c r="AF420" s="173"/>
      <c r="AG420" s="173"/>
      <c r="AH420" s="173"/>
      <c r="AI420" s="173"/>
      <c r="AJ420" s="173"/>
      <c r="AK420" s="173"/>
      <c r="AL420" s="173"/>
      <c r="AM420" s="173"/>
      <c r="AN420" s="173"/>
      <c r="AO420" s="173"/>
      <c r="AP420" s="173"/>
    </row>
    <row r="421" spans="6:42">
      <c r="F421" s="692"/>
      <c r="G421" s="692"/>
      <c r="H421" s="692"/>
      <c r="I421" s="692"/>
      <c r="J421" s="692"/>
      <c r="K421" s="692"/>
      <c r="L421" s="692"/>
      <c r="M421" s="692"/>
      <c r="N421" s="692"/>
      <c r="O421" s="692"/>
      <c r="P421" s="692"/>
      <c r="Q421" s="173"/>
      <c r="R421" s="173"/>
      <c r="S421" s="173"/>
      <c r="T421" s="173"/>
      <c r="U421" s="173"/>
      <c r="V421" s="173"/>
      <c r="W421" s="173"/>
      <c r="X421" s="173"/>
      <c r="Y421" s="173"/>
      <c r="Z421" s="173"/>
      <c r="AA421" s="173"/>
      <c r="AB421" s="173"/>
      <c r="AC421" s="173"/>
      <c r="AD421" s="173"/>
      <c r="AE421" s="173"/>
      <c r="AF421" s="173"/>
      <c r="AG421" s="173"/>
      <c r="AH421" s="173"/>
      <c r="AI421" s="173"/>
      <c r="AJ421" s="173"/>
      <c r="AK421" s="173"/>
      <c r="AL421" s="173"/>
      <c r="AM421" s="173"/>
      <c r="AN421" s="173"/>
      <c r="AO421" s="173"/>
      <c r="AP421" s="173"/>
    </row>
    <row r="422" spans="6:42">
      <c r="F422" s="692"/>
      <c r="G422" s="692"/>
      <c r="H422" s="692"/>
      <c r="I422" s="692"/>
      <c r="J422" s="692"/>
      <c r="K422" s="692"/>
      <c r="L422" s="692"/>
      <c r="M422" s="692"/>
      <c r="N422" s="692"/>
      <c r="O422" s="692"/>
      <c r="P422" s="692"/>
      <c r="Q422" s="173"/>
      <c r="R422" s="173"/>
      <c r="S422" s="173"/>
      <c r="T422" s="173"/>
      <c r="U422" s="173"/>
      <c r="V422" s="173"/>
      <c r="W422" s="173"/>
      <c r="X422" s="173"/>
      <c r="Y422" s="173"/>
      <c r="Z422" s="173"/>
      <c r="AA422" s="173"/>
      <c r="AB422" s="173"/>
      <c r="AC422" s="173"/>
      <c r="AD422" s="173"/>
      <c r="AE422" s="173"/>
      <c r="AF422" s="173"/>
      <c r="AG422" s="173"/>
      <c r="AH422" s="173"/>
      <c r="AI422" s="173"/>
      <c r="AJ422" s="173"/>
      <c r="AK422" s="173"/>
      <c r="AL422" s="173"/>
      <c r="AM422" s="173"/>
      <c r="AN422" s="173"/>
      <c r="AO422" s="173"/>
      <c r="AP422" s="173"/>
    </row>
    <row r="423" spans="6:42">
      <c r="F423" s="727"/>
      <c r="G423" s="692"/>
      <c r="H423" s="692"/>
      <c r="I423" s="692"/>
      <c r="J423" s="692"/>
      <c r="K423" s="692"/>
      <c r="L423" s="692"/>
      <c r="M423" s="692"/>
      <c r="N423" s="692"/>
      <c r="O423" s="692"/>
      <c r="P423" s="692"/>
      <c r="Q423" s="173"/>
      <c r="R423" s="173"/>
      <c r="S423" s="173"/>
      <c r="T423" s="173"/>
      <c r="U423" s="173"/>
      <c r="V423" s="173"/>
      <c r="W423" s="173"/>
      <c r="X423" s="173"/>
      <c r="Y423" s="173"/>
      <c r="Z423" s="173"/>
      <c r="AA423" s="173"/>
      <c r="AB423" s="173"/>
      <c r="AC423" s="173"/>
      <c r="AD423" s="173"/>
      <c r="AE423" s="173"/>
      <c r="AF423" s="173"/>
      <c r="AG423" s="173"/>
      <c r="AH423" s="173"/>
      <c r="AI423" s="173"/>
      <c r="AJ423" s="173"/>
      <c r="AK423" s="173"/>
      <c r="AL423" s="173"/>
      <c r="AM423" s="173"/>
      <c r="AN423" s="173"/>
      <c r="AO423" s="173"/>
      <c r="AP423" s="173"/>
    </row>
    <row r="424" spans="6:42">
      <c r="F424" s="692"/>
      <c r="G424" s="692"/>
      <c r="H424" s="692"/>
      <c r="I424" s="692"/>
      <c r="J424" s="692"/>
      <c r="K424" s="692"/>
      <c r="L424" s="692"/>
      <c r="M424" s="692"/>
      <c r="N424" s="692"/>
      <c r="O424" s="692"/>
      <c r="P424" s="692"/>
      <c r="Q424" s="173"/>
      <c r="R424" s="173"/>
      <c r="S424" s="173"/>
      <c r="T424" s="173"/>
      <c r="U424" s="173"/>
      <c r="V424" s="173"/>
      <c r="W424" s="173"/>
      <c r="X424" s="173"/>
      <c r="Y424" s="173"/>
      <c r="Z424" s="173"/>
      <c r="AA424" s="173"/>
      <c r="AB424" s="173"/>
      <c r="AC424" s="173"/>
      <c r="AD424" s="173"/>
      <c r="AE424" s="173"/>
      <c r="AF424" s="173"/>
      <c r="AG424" s="173"/>
      <c r="AH424" s="173"/>
      <c r="AI424" s="173"/>
      <c r="AJ424" s="173"/>
      <c r="AK424" s="173"/>
      <c r="AL424" s="173"/>
      <c r="AM424" s="173"/>
      <c r="AN424" s="173"/>
      <c r="AO424" s="173"/>
      <c r="AP424" s="173"/>
    </row>
    <row r="425" spans="6:42">
      <c r="F425" s="692"/>
      <c r="G425" s="692"/>
      <c r="H425" s="692"/>
      <c r="I425" s="692"/>
      <c r="J425" s="692"/>
      <c r="K425" s="692"/>
      <c r="L425" s="692"/>
      <c r="M425" s="692"/>
      <c r="N425" s="692"/>
      <c r="O425" s="692"/>
      <c r="P425" s="692"/>
      <c r="Q425" s="173"/>
      <c r="R425" s="173"/>
      <c r="S425" s="173"/>
      <c r="T425" s="173"/>
      <c r="U425" s="173"/>
      <c r="V425" s="173"/>
      <c r="W425" s="173"/>
      <c r="X425" s="173"/>
      <c r="Y425" s="173"/>
      <c r="Z425" s="173"/>
      <c r="AA425" s="173"/>
      <c r="AB425" s="173"/>
      <c r="AC425" s="173"/>
      <c r="AD425" s="173"/>
      <c r="AE425" s="173"/>
      <c r="AF425" s="173"/>
      <c r="AG425" s="173"/>
      <c r="AH425" s="173"/>
      <c r="AI425" s="173"/>
      <c r="AJ425" s="173"/>
      <c r="AK425" s="173"/>
      <c r="AL425" s="173"/>
      <c r="AM425" s="173"/>
      <c r="AN425" s="173"/>
      <c r="AO425" s="173"/>
      <c r="AP425" s="173"/>
    </row>
    <row r="426" spans="6:42">
      <c r="F426" s="727"/>
      <c r="G426" s="692"/>
      <c r="H426" s="692"/>
      <c r="I426" s="692"/>
      <c r="J426" s="692"/>
      <c r="K426" s="692"/>
      <c r="L426" s="692"/>
      <c r="M426" s="692"/>
      <c r="N426" s="692"/>
      <c r="O426" s="692"/>
      <c r="P426" s="692"/>
      <c r="Q426" s="173"/>
      <c r="R426" s="173"/>
      <c r="S426" s="173"/>
      <c r="T426" s="173"/>
      <c r="U426" s="173"/>
      <c r="V426" s="173"/>
      <c r="W426" s="173"/>
      <c r="X426" s="173"/>
      <c r="Y426" s="173"/>
      <c r="Z426" s="173"/>
      <c r="AA426" s="173"/>
      <c r="AB426" s="173"/>
      <c r="AC426" s="173"/>
      <c r="AD426" s="173"/>
      <c r="AE426" s="173"/>
      <c r="AF426" s="173"/>
      <c r="AG426" s="173"/>
      <c r="AH426" s="173"/>
      <c r="AI426" s="173"/>
      <c r="AJ426" s="173"/>
      <c r="AK426" s="173"/>
      <c r="AL426" s="173"/>
      <c r="AM426" s="173"/>
      <c r="AN426" s="173"/>
      <c r="AO426" s="173"/>
      <c r="AP426" s="173"/>
    </row>
    <row r="427" spans="6:42">
      <c r="F427" s="692"/>
      <c r="G427" s="692"/>
      <c r="H427" s="692"/>
      <c r="I427" s="692"/>
      <c r="J427" s="692"/>
      <c r="K427" s="692"/>
      <c r="L427" s="692"/>
      <c r="M427" s="692"/>
      <c r="N427" s="692"/>
      <c r="O427" s="692"/>
      <c r="P427" s="692"/>
      <c r="Q427" s="173"/>
      <c r="R427" s="173"/>
      <c r="S427" s="173"/>
      <c r="T427" s="173"/>
      <c r="U427" s="173"/>
      <c r="V427" s="173"/>
      <c r="W427" s="173"/>
      <c r="X427" s="173"/>
      <c r="Y427" s="173"/>
      <c r="Z427" s="173"/>
      <c r="AA427" s="173"/>
      <c r="AB427" s="173"/>
      <c r="AC427" s="173"/>
      <c r="AD427" s="173"/>
      <c r="AE427" s="173"/>
      <c r="AF427" s="173"/>
      <c r="AG427" s="173"/>
      <c r="AH427" s="173"/>
      <c r="AI427" s="173"/>
      <c r="AJ427" s="173"/>
      <c r="AK427" s="173"/>
      <c r="AL427" s="173"/>
      <c r="AM427" s="173"/>
      <c r="AN427" s="173"/>
      <c r="AO427" s="173"/>
      <c r="AP427" s="173"/>
    </row>
    <row r="428" spans="6:42">
      <c r="F428" s="692"/>
      <c r="G428" s="692"/>
      <c r="H428" s="692"/>
      <c r="I428" s="692"/>
      <c r="J428" s="692"/>
      <c r="K428" s="692"/>
      <c r="L428" s="692"/>
      <c r="M428" s="692"/>
      <c r="N428" s="692"/>
      <c r="O428" s="692"/>
      <c r="P428" s="692"/>
      <c r="Q428" s="173"/>
      <c r="R428" s="173"/>
      <c r="S428" s="173"/>
      <c r="T428" s="173"/>
      <c r="U428" s="173"/>
      <c r="V428" s="173"/>
      <c r="W428" s="173"/>
      <c r="X428" s="173"/>
      <c r="Y428" s="173"/>
      <c r="Z428" s="173"/>
      <c r="AA428" s="173"/>
      <c r="AB428" s="173"/>
      <c r="AC428" s="173"/>
      <c r="AD428" s="173"/>
      <c r="AE428" s="173"/>
      <c r="AF428" s="173"/>
      <c r="AG428" s="173"/>
      <c r="AH428" s="173"/>
      <c r="AI428" s="173"/>
      <c r="AJ428" s="173"/>
      <c r="AK428" s="173"/>
      <c r="AL428" s="173"/>
      <c r="AM428" s="173"/>
      <c r="AN428" s="173"/>
      <c r="AO428" s="173"/>
      <c r="AP428" s="173"/>
    </row>
    <row r="429" spans="6:42">
      <c r="F429" s="692"/>
      <c r="G429" s="728"/>
      <c r="H429" s="692"/>
      <c r="I429" s="692"/>
      <c r="J429" s="692"/>
      <c r="K429" s="692"/>
      <c r="L429" s="692"/>
      <c r="M429" s="692"/>
      <c r="N429" s="692"/>
      <c r="O429" s="692"/>
      <c r="P429" s="692"/>
      <c r="Q429" s="173"/>
      <c r="R429" s="173"/>
      <c r="S429" s="173"/>
      <c r="T429" s="173"/>
      <c r="U429" s="173"/>
      <c r="V429" s="173"/>
      <c r="W429" s="173"/>
      <c r="X429" s="173"/>
      <c r="Y429" s="173"/>
      <c r="Z429" s="173"/>
      <c r="AA429" s="173"/>
      <c r="AB429" s="173"/>
      <c r="AC429" s="173"/>
      <c r="AD429" s="173"/>
      <c r="AE429" s="173"/>
      <c r="AF429" s="173"/>
      <c r="AG429" s="173"/>
      <c r="AH429" s="173"/>
      <c r="AI429" s="173"/>
      <c r="AJ429" s="173"/>
      <c r="AK429" s="173"/>
      <c r="AL429" s="173"/>
      <c r="AM429" s="173"/>
      <c r="AN429" s="173"/>
      <c r="AO429" s="173"/>
      <c r="AP429" s="173"/>
    </row>
    <row r="430" spans="6:42">
      <c r="F430" s="692"/>
      <c r="G430" s="692"/>
      <c r="H430" s="692"/>
      <c r="I430" s="692"/>
      <c r="J430" s="692"/>
      <c r="K430" s="692"/>
      <c r="L430" s="692"/>
      <c r="M430" s="692"/>
      <c r="N430" s="692"/>
      <c r="O430" s="692"/>
      <c r="P430" s="692"/>
      <c r="Q430" s="173"/>
      <c r="R430" s="173"/>
      <c r="S430" s="173"/>
      <c r="T430" s="173"/>
      <c r="U430" s="173"/>
      <c r="V430" s="173"/>
      <c r="W430" s="173"/>
      <c r="X430" s="173"/>
      <c r="Y430" s="173"/>
      <c r="Z430" s="173"/>
      <c r="AA430" s="173"/>
      <c r="AB430" s="173"/>
      <c r="AC430" s="173"/>
      <c r="AD430" s="173"/>
      <c r="AE430" s="173"/>
      <c r="AF430" s="173"/>
      <c r="AG430" s="173"/>
      <c r="AH430" s="173"/>
      <c r="AI430" s="173"/>
      <c r="AJ430" s="173"/>
      <c r="AK430" s="173"/>
      <c r="AL430" s="173"/>
      <c r="AM430" s="173"/>
      <c r="AN430" s="173"/>
      <c r="AO430" s="173"/>
      <c r="AP430" s="173"/>
    </row>
    <row r="431" spans="6:42">
      <c r="F431" s="692"/>
      <c r="G431" s="692"/>
      <c r="H431" s="692"/>
      <c r="I431" s="692"/>
      <c r="J431" s="692"/>
      <c r="K431" s="692"/>
      <c r="L431" s="692"/>
      <c r="M431" s="692"/>
      <c r="N431" s="692"/>
      <c r="O431" s="692"/>
      <c r="P431" s="692"/>
      <c r="Q431" s="173"/>
      <c r="R431" s="173"/>
      <c r="S431" s="173"/>
      <c r="T431" s="173"/>
      <c r="U431" s="173"/>
      <c r="V431" s="173"/>
      <c r="W431" s="173"/>
      <c r="X431" s="173"/>
      <c r="Y431" s="173"/>
      <c r="Z431" s="173"/>
      <c r="AA431" s="173"/>
      <c r="AB431" s="173"/>
      <c r="AC431" s="173"/>
      <c r="AD431" s="173"/>
      <c r="AE431" s="173"/>
      <c r="AF431" s="173"/>
      <c r="AG431" s="173"/>
      <c r="AH431" s="173"/>
      <c r="AI431" s="173"/>
      <c r="AJ431" s="173"/>
      <c r="AK431" s="173"/>
      <c r="AL431" s="173"/>
      <c r="AM431" s="173"/>
      <c r="AN431" s="173"/>
      <c r="AO431" s="173"/>
      <c r="AP431" s="173"/>
    </row>
    <row r="432" spans="6:42">
      <c r="F432" s="692"/>
      <c r="G432" s="692"/>
      <c r="H432" s="692"/>
      <c r="I432" s="692"/>
      <c r="J432" s="692"/>
      <c r="K432" s="692"/>
      <c r="L432" s="692"/>
      <c r="M432" s="692"/>
      <c r="N432" s="692"/>
      <c r="O432" s="692"/>
      <c r="P432" s="692"/>
      <c r="Q432" s="173"/>
      <c r="R432" s="173"/>
      <c r="S432" s="173"/>
      <c r="T432" s="173"/>
      <c r="U432" s="173"/>
      <c r="V432" s="173"/>
      <c r="W432" s="173"/>
      <c r="X432" s="173"/>
      <c r="Y432" s="173"/>
      <c r="Z432" s="173"/>
      <c r="AA432" s="173"/>
      <c r="AB432" s="173"/>
      <c r="AC432" s="173"/>
      <c r="AD432" s="173"/>
      <c r="AE432" s="173"/>
      <c r="AF432" s="173"/>
      <c r="AG432" s="173"/>
      <c r="AH432" s="173"/>
      <c r="AI432" s="173"/>
      <c r="AJ432" s="173"/>
      <c r="AK432" s="173"/>
      <c r="AL432" s="173"/>
      <c r="AM432" s="173"/>
      <c r="AN432" s="173"/>
      <c r="AO432" s="173"/>
      <c r="AP432" s="173"/>
    </row>
    <row r="433" spans="6:42">
      <c r="F433" s="692"/>
      <c r="G433" s="692"/>
      <c r="H433" s="692"/>
      <c r="I433" s="692"/>
      <c r="J433" s="692"/>
      <c r="K433" s="692"/>
      <c r="L433" s="692"/>
      <c r="M433" s="692"/>
      <c r="N433" s="692"/>
      <c r="O433" s="692"/>
      <c r="P433" s="692"/>
      <c r="Q433" s="173"/>
      <c r="R433" s="173"/>
      <c r="S433" s="173"/>
      <c r="T433" s="173"/>
      <c r="U433" s="173"/>
      <c r="V433" s="173"/>
      <c r="W433" s="173"/>
      <c r="X433" s="173"/>
      <c r="Y433" s="173"/>
      <c r="Z433" s="173"/>
      <c r="AA433" s="173"/>
      <c r="AB433" s="173"/>
      <c r="AC433" s="173"/>
      <c r="AD433" s="173"/>
      <c r="AE433" s="173"/>
      <c r="AF433" s="173"/>
      <c r="AG433" s="173"/>
      <c r="AH433" s="173"/>
      <c r="AI433" s="173"/>
      <c r="AJ433" s="173"/>
      <c r="AK433" s="173"/>
      <c r="AL433" s="173"/>
      <c r="AM433" s="173"/>
      <c r="AN433" s="173"/>
      <c r="AO433" s="173"/>
      <c r="AP433" s="173"/>
    </row>
    <row r="434" spans="6:42">
      <c r="F434" s="692"/>
      <c r="G434" s="692"/>
      <c r="H434" s="692"/>
      <c r="I434" s="692"/>
      <c r="J434" s="692"/>
      <c r="K434" s="692"/>
      <c r="L434" s="692"/>
      <c r="M434" s="692"/>
      <c r="N434" s="692"/>
      <c r="O434" s="692"/>
      <c r="P434" s="692"/>
      <c r="Q434" s="173"/>
      <c r="R434" s="173"/>
      <c r="S434" s="173"/>
      <c r="T434" s="173"/>
      <c r="U434" s="173"/>
      <c r="V434" s="173"/>
      <c r="W434" s="173"/>
      <c r="X434" s="173"/>
      <c r="Y434" s="173"/>
      <c r="Z434" s="173"/>
      <c r="AA434" s="173"/>
      <c r="AB434" s="173"/>
      <c r="AC434" s="173"/>
      <c r="AD434" s="173"/>
      <c r="AE434" s="173"/>
      <c r="AF434" s="173"/>
      <c r="AG434" s="173"/>
      <c r="AH434" s="173"/>
      <c r="AI434" s="173"/>
      <c r="AJ434" s="173"/>
      <c r="AK434" s="173"/>
      <c r="AL434" s="173"/>
      <c r="AM434" s="173"/>
      <c r="AN434" s="173"/>
      <c r="AO434" s="173"/>
      <c r="AP434" s="173"/>
    </row>
    <row r="435" spans="6:42">
      <c r="F435" s="727"/>
      <c r="G435" s="692"/>
      <c r="H435" s="692"/>
      <c r="I435" s="692"/>
      <c r="J435" s="692"/>
      <c r="K435" s="692"/>
      <c r="L435" s="692"/>
      <c r="M435" s="692"/>
      <c r="N435" s="692"/>
      <c r="O435" s="692"/>
      <c r="P435" s="692"/>
      <c r="Q435" s="173"/>
      <c r="R435" s="173"/>
      <c r="S435" s="173"/>
      <c r="T435" s="173"/>
      <c r="U435" s="173"/>
      <c r="V435" s="173"/>
      <c r="W435" s="173"/>
      <c r="X435" s="173"/>
      <c r="Y435" s="173"/>
      <c r="Z435" s="173"/>
      <c r="AA435" s="173"/>
      <c r="AB435" s="173"/>
      <c r="AC435" s="173"/>
      <c r="AD435" s="173"/>
      <c r="AE435" s="173"/>
      <c r="AF435" s="173"/>
      <c r="AG435" s="173"/>
      <c r="AH435" s="173"/>
      <c r="AI435" s="173"/>
      <c r="AJ435" s="173"/>
      <c r="AK435" s="173"/>
      <c r="AL435" s="173"/>
      <c r="AM435" s="173"/>
      <c r="AN435" s="173"/>
      <c r="AO435" s="173"/>
      <c r="AP435" s="173"/>
    </row>
    <row r="436" spans="6:42">
      <c r="F436" s="692"/>
      <c r="G436" s="692"/>
      <c r="H436" s="692"/>
      <c r="I436" s="692"/>
      <c r="J436" s="692"/>
      <c r="K436" s="692"/>
      <c r="L436" s="692"/>
      <c r="M436" s="692"/>
      <c r="N436" s="692"/>
      <c r="O436" s="692"/>
      <c r="P436" s="692"/>
      <c r="Q436" s="173"/>
      <c r="R436" s="173"/>
      <c r="S436" s="173"/>
      <c r="T436" s="173"/>
      <c r="U436" s="173"/>
      <c r="V436" s="173"/>
      <c r="W436" s="173"/>
      <c r="X436" s="173"/>
      <c r="Y436" s="173"/>
      <c r="Z436" s="173"/>
      <c r="AA436" s="173"/>
      <c r="AB436" s="173"/>
      <c r="AC436" s="173"/>
      <c r="AD436" s="173"/>
      <c r="AE436" s="173"/>
      <c r="AF436" s="173"/>
      <c r="AG436" s="173"/>
      <c r="AH436" s="173"/>
      <c r="AI436" s="173"/>
      <c r="AJ436" s="173"/>
      <c r="AK436" s="173"/>
      <c r="AL436" s="173"/>
      <c r="AM436" s="173"/>
      <c r="AN436" s="173"/>
      <c r="AO436" s="173"/>
      <c r="AP436" s="173"/>
    </row>
    <row r="437" spans="6:42">
      <c r="F437" s="692"/>
      <c r="G437" s="692"/>
      <c r="H437" s="692"/>
      <c r="I437" s="692"/>
      <c r="J437" s="692"/>
      <c r="K437" s="692"/>
      <c r="L437" s="692"/>
      <c r="M437" s="692"/>
      <c r="N437" s="692"/>
      <c r="O437" s="692"/>
      <c r="P437" s="692"/>
      <c r="Q437" s="173"/>
      <c r="R437" s="173"/>
      <c r="S437" s="173"/>
      <c r="T437" s="173"/>
      <c r="U437" s="173"/>
      <c r="V437" s="173"/>
      <c r="W437" s="173"/>
      <c r="X437" s="173"/>
      <c r="Y437" s="173"/>
      <c r="Z437" s="173"/>
      <c r="AA437" s="173"/>
      <c r="AB437" s="173"/>
      <c r="AC437" s="173"/>
      <c r="AD437" s="173"/>
      <c r="AE437" s="173"/>
      <c r="AF437" s="173"/>
      <c r="AG437" s="173"/>
      <c r="AH437" s="173"/>
      <c r="AI437" s="173"/>
      <c r="AJ437" s="173"/>
      <c r="AK437" s="173"/>
      <c r="AL437" s="173"/>
      <c r="AM437" s="173"/>
      <c r="AN437" s="173"/>
      <c r="AO437" s="173"/>
      <c r="AP437" s="173"/>
    </row>
    <row r="438" spans="6:42">
      <c r="F438" s="727"/>
      <c r="G438" s="692"/>
      <c r="H438" s="728"/>
      <c r="I438" s="692"/>
      <c r="J438" s="692"/>
      <c r="K438" s="692"/>
      <c r="L438" s="692"/>
      <c r="M438" s="692"/>
      <c r="N438" s="692"/>
      <c r="O438" s="692"/>
      <c r="P438" s="692"/>
      <c r="Q438" s="173"/>
      <c r="R438" s="173"/>
      <c r="S438" s="173"/>
      <c r="T438" s="173"/>
      <c r="U438" s="173"/>
      <c r="V438" s="173"/>
      <c r="W438" s="173"/>
      <c r="X438" s="173"/>
      <c r="Y438" s="173"/>
      <c r="Z438" s="173"/>
      <c r="AA438" s="173"/>
      <c r="AB438" s="173"/>
      <c r="AC438" s="173"/>
      <c r="AD438" s="173"/>
      <c r="AE438" s="173"/>
      <c r="AF438" s="173"/>
      <c r="AG438" s="173"/>
      <c r="AH438" s="173"/>
      <c r="AI438" s="173"/>
      <c r="AJ438" s="173"/>
      <c r="AK438" s="173"/>
      <c r="AL438" s="173"/>
      <c r="AM438" s="173"/>
      <c r="AN438" s="173"/>
      <c r="AO438" s="173"/>
      <c r="AP438" s="173"/>
    </row>
    <row r="439" spans="6:42">
      <c r="F439" s="692"/>
      <c r="G439" s="692"/>
      <c r="H439" s="692"/>
      <c r="I439" s="692"/>
      <c r="J439" s="692"/>
      <c r="K439" s="692"/>
      <c r="L439" s="692"/>
      <c r="M439" s="692"/>
      <c r="N439" s="692"/>
      <c r="O439" s="692"/>
      <c r="P439" s="692"/>
      <c r="Q439" s="173"/>
      <c r="R439" s="173"/>
      <c r="S439" s="173"/>
      <c r="T439" s="173"/>
      <c r="U439" s="173"/>
      <c r="V439" s="173"/>
      <c r="W439" s="173"/>
      <c r="X439" s="173"/>
      <c r="Y439" s="173"/>
      <c r="Z439" s="173"/>
      <c r="AA439" s="173"/>
      <c r="AB439" s="173"/>
      <c r="AC439" s="173"/>
      <c r="AD439" s="173"/>
      <c r="AE439" s="173"/>
      <c r="AF439" s="173"/>
      <c r="AG439" s="173"/>
      <c r="AH439" s="173"/>
      <c r="AI439" s="173"/>
      <c r="AJ439" s="173"/>
      <c r="AK439" s="173"/>
      <c r="AL439" s="173"/>
      <c r="AM439" s="173"/>
      <c r="AN439" s="173"/>
      <c r="AO439" s="173"/>
      <c r="AP439" s="173"/>
    </row>
    <row r="440" spans="6:42">
      <c r="F440" s="692"/>
      <c r="G440" s="692"/>
      <c r="H440" s="692"/>
      <c r="I440" s="692"/>
      <c r="J440" s="692"/>
      <c r="K440" s="692"/>
      <c r="L440" s="692"/>
      <c r="M440" s="692"/>
      <c r="N440" s="692"/>
      <c r="O440" s="692"/>
      <c r="P440" s="692"/>
      <c r="Q440" s="173"/>
      <c r="R440" s="173"/>
      <c r="S440" s="173"/>
      <c r="T440" s="173"/>
      <c r="U440" s="173"/>
      <c r="V440" s="173"/>
      <c r="W440" s="173"/>
      <c r="X440" s="173"/>
      <c r="Y440" s="173"/>
      <c r="Z440" s="173"/>
      <c r="AA440" s="173"/>
      <c r="AB440" s="173"/>
      <c r="AC440" s="173"/>
      <c r="AD440" s="173"/>
      <c r="AE440" s="173"/>
      <c r="AF440" s="173"/>
      <c r="AG440" s="173"/>
      <c r="AH440" s="173"/>
      <c r="AI440" s="173"/>
      <c r="AJ440" s="173"/>
      <c r="AK440" s="173"/>
      <c r="AL440" s="173"/>
      <c r="AM440" s="173"/>
      <c r="AN440" s="173"/>
      <c r="AO440" s="173"/>
      <c r="AP440" s="173"/>
    </row>
    <row r="441" spans="6:42">
      <c r="F441" s="692"/>
      <c r="G441" s="692"/>
      <c r="H441" s="692"/>
      <c r="I441" s="692"/>
      <c r="J441" s="692"/>
      <c r="K441" s="692"/>
      <c r="L441" s="692"/>
      <c r="M441" s="692"/>
      <c r="N441" s="692"/>
      <c r="O441" s="692"/>
      <c r="P441" s="692"/>
      <c r="Q441" s="173"/>
      <c r="R441" s="173"/>
      <c r="S441" s="173"/>
      <c r="T441" s="173"/>
      <c r="U441" s="173"/>
      <c r="V441" s="173"/>
      <c r="W441" s="173"/>
      <c r="X441" s="173"/>
      <c r="Y441" s="173"/>
      <c r="Z441" s="173"/>
      <c r="AA441" s="173"/>
      <c r="AB441" s="173"/>
      <c r="AC441" s="173"/>
      <c r="AD441" s="173"/>
      <c r="AE441" s="173"/>
      <c r="AF441" s="173"/>
      <c r="AG441" s="173"/>
      <c r="AH441" s="173"/>
      <c r="AI441" s="173"/>
      <c r="AJ441" s="173"/>
      <c r="AK441" s="173"/>
      <c r="AL441" s="173"/>
      <c r="AM441" s="173"/>
      <c r="AN441" s="173"/>
      <c r="AO441" s="173"/>
      <c r="AP441" s="173"/>
    </row>
    <row r="442" spans="6:42">
      <c r="F442" s="692"/>
      <c r="G442" s="692"/>
      <c r="H442" s="692"/>
      <c r="I442" s="692"/>
      <c r="J442" s="692"/>
      <c r="K442" s="692"/>
      <c r="L442" s="692"/>
      <c r="M442" s="692"/>
      <c r="N442" s="692"/>
      <c r="O442" s="692"/>
      <c r="P442" s="692"/>
      <c r="Q442" s="173"/>
      <c r="R442" s="173"/>
      <c r="S442" s="173"/>
      <c r="T442" s="173"/>
      <c r="U442" s="173"/>
      <c r="V442" s="173"/>
      <c r="W442" s="173"/>
      <c r="X442" s="173"/>
      <c r="Y442" s="173"/>
      <c r="Z442" s="173"/>
      <c r="AA442" s="173"/>
      <c r="AB442" s="173"/>
      <c r="AC442" s="173"/>
      <c r="AD442" s="173"/>
      <c r="AE442" s="173"/>
      <c r="AF442" s="173"/>
      <c r="AG442" s="173"/>
      <c r="AH442" s="173"/>
      <c r="AI442" s="173"/>
      <c r="AJ442" s="173"/>
      <c r="AK442" s="173"/>
      <c r="AL442" s="173"/>
      <c r="AM442" s="173"/>
      <c r="AN442" s="173"/>
      <c r="AO442" s="173"/>
      <c r="AP442" s="173"/>
    </row>
    <row r="443" spans="6:42">
      <c r="F443" s="692"/>
      <c r="G443" s="692"/>
      <c r="H443" s="692"/>
      <c r="I443" s="692"/>
      <c r="J443" s="692"/>
      <c r="K443" s="692"/>
      <c r="L443" s="692"/>
      <c r="M443" s="692"/>
      <c r="N443" s="692"/>
      <c r="O443" s="692"/>
      <c r="P443" s="692"/>
      <c r="Q443" s="173"/>
      <c r="R443" s="173"/>
      <c r="S443" s="173"/>
      <c r="T443" s="173"/>
      <c r="U443" s="173"/>
      <c r="V443" s="173"/>
      <c r="W443" s="173"/>
      <c r="X443" s="173"/>
      <c r="Y443" s="173"/>
      <c r="Z443" s="173"/>
      <c r="AA443" s="173"/>
      <c r="AB443" s="173"/>
      <c r="AC443" s="173"/>
      <c r="AD443" s="173"/>
      <c r="AE443" s="173"/>
      <c r="AF443" s="173"/>
      <c r="AG443" s="173"/>
      <c r="AH443" s="173"/>
      <c r="AI443" s="173"/>
      <c r="AJ443" s="173"/>
      <c r="AK443" s="173"/>
      <c r="AL443" s="173"/>
      <c r="AM443" s="173"/>
      <c r="AN443" s="173"/>
      <c r="AO443" s="173"/>
      <c r="AP443" s="173"/>
    </row>
    <row r="444" spans="6:42">
      <c r="F444" s="692"/>
      <c r="G444" s="692"/>
      <c r="H444" s="692"/>
      <c r="I444" s="692"/>
      <c r="J444" s="692"/>
      <c r="K444" s="692"/>
      <c r="L444" s="692"/>
      <c r="M444" s="692"/>
      <c r="N444" s="692"/>
      <c r="O444" s="692"/>
      <c r="P444" s="692"/>
      <c r="Q444" s="173"/>
      <c r="R444" s="173"/>
      <c r="S444" s="173"/>
      <c r="T444" s="173"/>
      <c r="U444" s="173"/>
      <c r="V444" s="173"/>
      <c r="W444" s="173"/>
      <c r="X444" s="173"/>
      <c r="Y444" s="173"/>
      <c r="Z444" s="173"/>
      <c r="AA444" s="173"/>
      <c r="AB444" s="173"/>
      <c r="AC444" s="173"/>
      <c r="AD444" s="173"/>
      <c r="AE444" s="173"/>
      <c r="AF444" s="173"/>
      <c r="AG444" s="173"/>
      <c r="AH444" s="173"/>
      <c r="AI444" s="173"/>
      <c r="AJ444" s="173"/>
      <c r="AK444" s="173"/>
      <c r="AL444" s="173"/>
      <c r="AM444" s="173"/>
      <c r="AN444" s="173"/>
      <c r="AO444" s="173"/>
      <c r="AP444" s="173"/>
    </row>
    <row r="445" spans="6:42">
      <c r="F445" s="692"/>
      <c r="G445" s="692"/>
      <c r="H445" s="692"/>
      <c r="I445" s="692"/>
      <c r="J445" s="692"/>
      <c r="K445" s="692"/>
      <c r="L445" s="692"/>
      <c r="M445" s="692"/>
      <c r="N445" s="692"/>
      <c r="O445" s="692"/>
      <c r="P445" s="692"/>
      <c r="Q445" s="173"/>
      <c r="R445" s="173"/>
      <c r="S445" s="173"/>
      <c r="T445" s="173"/>
      <c r="U445" s="173"/>
      <c r="V445" s="173"/>
      <c r="W445" s="173"/>
      <c r="X445" s="173"/>
      <c r="Y445" s="173"/>
      <c r="Z445" s="173"/>
      <c r="AA445" s="173"/>
      <c r="AB445" s="173"/>
      <c r="AC445" s="173"/>
      <c r="AD445" s="173"/>
      <c r="AE445" s="173"/>
      <c r="AF445" s="173"/>
      <c r="AG445" s="173"/>
      <c r="AH445" s="173"/>
      <c r="AI445" s="173"/>
      <c r="AJ445" s="173"/>
      <c r="AK445" s="173"/>
      <c r="AL445" s="173"/>
      <c r="AM445" s="173"/>
      <c r="AN445" s="173"/>
      <c r="AO445" s="173"/>
      <c r="AP445" s="173"/>
    </row>
    <row r="446" spans="6:42">
      <c r="F446" s="692"/>
      <c r="G446" s="692"/>
      <c r="H446" s="692"/>
      <c r="I446" s="692"/>
      <c r="J446" s="692"/>
      <c r="K446" s="692"/>
      <c r="L446" s="692"/>
      <c r="M446" s="692"/>
      <c r="N446" s="692"/>
      <c r="O446" s="692"/>
      <c r="P446" s="692"/>
      <c r="Q446" s="173"/>
      <c r="R446" s="173"/>
      <c r="S446" s="173"/>
      <c r="T446" s="173"/>
      <c r="U446" s="173"/>
      <c r="V446" s="173"/>
      <c r="W446" s="173"/>
      <c r="X446" s="173"/>
      <c r="Y446" s="173"/>
      <c r="Z446" s="173"/>
      <c r="AA446" s="173"/>
      <c r="AB446" s="173"/>
      <c r="AC446" s="173"/>
      <c r="AD446" s="173"/>
      <c r="AE446" s="173"/>
      <c r="AF446" s="173"/>
      <c r="AG446" s="173"/>
      <c r="AH446" s="173"/>
      <c r="AI446" s="173"/>
      <c r="AJ446" s="173"/>
      <c r="AK446" s="173"/>
      <c r="AL446" s="173"/>
      <c r="AM446" s="173"/>
      <c r="AN446" s="173"/>
      <c r="AO446" s="173"/>
      <c r="AP446" s="173"/>
    </row>
    <row r="447" spans="6:42">
      <c r="F447" s="727"/>
      <c r="G447" s="692"/>
      <c r="H447" s="692"/>
      <c r="I447" s="692"/>
      <c r="J447" s="692"/>
      <c r="K447" s="692"/>
      <c r="L447" s="692"/>
      <c r="M447" s="692"/>
      <c r="N447" s="692"/>
      <c r="O447" s="692"/>
      <c r="P447" s="692"/>
      <c r="Q447" s="173"/>
      <c r="R447" s="173"/>
      <c r="S447" s="173"/>
      <c r="T447" s="173"/>
      <c r="U447" s="173"/>
      <c r="V447" s="173"/>
      <c r="W447" s="173"/>
      <c r="X447" s="173"/>
      <c r="Y447" s="173"/>
      <c r="Z447" s="173"/>
      <c r="AA447" s="173"/>
      <c r="AB447" s="173"/>
      <c r="AC447" s="173"/>
      <c r="AD447" s="173"/>
      <c r="AE447" s="173"/>
      <c r="AF447" s="173"/>
      <c r="AG447" s="173"/>
      <c r="AH447" s="173"/>
      <c r="AI447" s="173"/>
      <c r="AJ447" s="173"/>
      <c r="AK447" s="173"/>
      <c r="AL447" s="173"/>
      <c r="AM447" s="173"/>
      <c r="AN447" s="173"/>
      <c r="AO447" s="173"/>
      <c r="AP447" s="173"/>
    </row>
    <row r="448" spans="6:42">
      <c r="F448" s="692"/>
      <c r="G448" s="692"/>
      <c r="H448" s="692"/>
      <c r="I448" s="692"/>
      <c r="J448" s="692"/>
      <c r="K448" s="692"/>
      <c r="L448" s="692"/>
      <c r="M448" s="692"/>
      <c r="N448" s="692"/>
      <c r="O448" s="692"/>
      <c r="P448" s="692"/>
      <c r="Q448" s="173"/>
      <c r="R448" s="173"/>
      <c r="S448" s="173"/>
      <c r="T448" s="173"/>
      <c r="U448" s="173"/>
      <c r="V448" s="173"/>
      <c r="W448" s="173"/>
      <c r="X448" s="173"/>
      <c r="Y448" s="173"/>
      <c r="Z448" s="173"/>
      <c r="AA448" s="173"/>
      <c r="AB448" s="173"/>
      <c r="AC448" s="173"/>
      <c r="AD448" s="173"/>
      <c r="AE448" s="173"/>
      <c r="AF448" s="173"/>
      <c r="AG448" s="173"/>
      <c r="AH448" s="173"/>
      <c r="AI448" s="173"/>
      <c r="AJ448" s="173"/>
      <c r="AK448" s="173"/>
      <c r="AL448" s="173"/>
      <c r="AM448" s="173"/>
      <c r="AN448" s="173"/>
      <c r="AO448" s="173"/>
      <c r="AP448" s="173"/>
    </row>
    <row r="449" spans="1:42">
      <c r="F449" s="692"/>
      <c r="G449" s="692"/>
      <c r="H449" s="692"/>
      <c r="I449" s="692"/>
      <c r="J449" s="692"/>
      <c r="K449" s="692"/>
      <c r="L449" s="692"/>
      <c r="M449" s="692"/>
      <c r="N449" s="692"/>
      <c r="O449" s="692"/>
      <c r="P449" s="692"/>
      <c r="Q449" s="173"/>
      <c r="R449" s="173"/>
      <c r="S449" s="173"/>
      <c r="T449" s="173"/>
      <c r="U449" s="173"/>
      <c r="V449" s="173"/>
      <c r="W449" s="173"/>
      <c r="X449" s="173"/>
      <c r="Y449" s="173"/>
      <c r="Z449" s="173"/>
      <c r="AA449" s="173"/>
      <c r="AB449" s="173"/>
      <c r="AC449" s="173"/>
      <c r="AD449" s="173"/>
      <c r="AE449" s="173"/>
      <c r="AF449" s="173"/>
      <c r="AG449" s="173"/>
      <c r="AH449" s="173"/>
      <c r="AI449" s="173"/>
      <c r="AJ449" s="173"/>
      <c r="AK449" s="173"/>
      <c r="AL449" s="173"/>
      <c r="AM449" s="173"/>
      <c r="AN449" s="173"/>
      <c r="AO449" s="173"/>
      <c r="AP449" s="173"/>
    </row>
    <row r="450" spans="1:42">
      <c r="F450" s="692"/>
      <c r="G450" s="692"/>
      <c r="H450" s="692"/>
      <c r="I450" s="692"/>
      <c r="J450" s="692"/>
      <c r="K450" s="692"/>
      <c r="L450" s="692"/>
      <c r="M450" s="692"/>
      <c r="N450" s="692"/>
      <c r="O450" s="692"/>
      <c r="P450" s="692"/>
      <c r="Q450" s="173"/>
      <c r="R450" s="173"/>
      <c r="S450" s="173"/>
      <c r="T450" s="173"/>
      <c r="U450" s="173"/>
      <c r="V450" s="173"/>
      <c r="W450" s="173"/>
      <c r="X450" s="173"/>
      <c r="Y450" s="173"/>
      <c r="Z450" s="173"/>
      <c r="AA450" s="173"/>
      <c r="AB450" s="173"/>
      <c r="AC450" s="173"/>
      <c r="AD450" s="173"/>
      <c r="AE450" s="173"/>
      <c r="AF450" s="173"/>
      <c r="AG450" s="173"/>
      <c r="AH450" s="173"/>
      <c r="AI450" s="173"/>
      <c r="AJ450" s="173"/>
      <c r="AK450" s="173"/>
      <c r="AL450" s="173"/>
      <c r="AM450" s="173"/>
      <c r="AN450" s="173"/>
      <c r="AO450" s="173"/>
      <c r="AP450" s="173"/>
    </row>
    <row r="451" spans="1:42">
      <c r="F451" s="692"/>
      <c r="G451" s="692"/>
      <c r="H451" s="692"/>
      <c r="I451" s="692"/>
      <c r="J451" s="692"/>
      <c r="K451" s="692"/>
      <c r="L451" s="692"/>
      <c r="M451" s="692"/>
      <c r="N451" s="692"/>
      <c r="O451" s="692"/>
      <c r="P451" s="692"/>
      <c r="Q451" s="173"/>
      <c r="R451" s="173"/>
      <c r="S451" s="173"/>
      <c r="T451" s="173"/>
      <c r="U451" s="173"/>
      <c r="V451" s="173"/>
      <c r="W451" s="173"/>
      <c r="X451" s="173"/>
      <c r="Y451" s="173"/>
      <c r="Z451" s="173"/>
      <c r="AA451" s="173"/>
      <c r="AB451" s="173"/>
      <c r="AC451" s="173"/>
      <c r="AD451" s="173"/>
      <c r="AE451" s="173"/>
      <c r="AF451" s="173"/>
      <c r="AG451" s="173"/>
      <c r="AH451" s="173"/>
      <c r="AI451" s="173"/>
      <c r="AJ451" s="173"/>
      <c r="AK451" s="173"/>
      <c r="AL451" s="173"/>
      <c r="AM451" s="173"/>
      <c r="AN451" s="173"/>
      <c r="AO451" s="173"/>
      <c r="AP451" s="173"/>
    </row>
    <row r="452" spans="1:42">
      <c r="F452" s="692"/>
      <c r="G452" s="692"/>
      <c r="H452" s="692"/>
      <c r="I452" s="692"/>
      <c r="J452" s="692"/>
      <c r="K452" s="692"/>
      <c r="L452" s="692"/>
      <c r="M452" s="692"/>
      <c r="N452" s="692"/>
      <c r="O452" s="692"/>
      <c r="P452" s="692"/>
      <c r="Q452" s="173"/>
      <c r="R452" s="173"/>
      <c r="S452" s="173"/>
      <c r="T452" s="173"/>
      <c r="U452" s="173"/>
      <c r="V452" s="173"/>
      <c r="W452" s="173"/>
      <c r="X452" s="173"/>
      <c r="Y452" s="173"/>
      <c r="Z452" s="173"/>
      <c r="AA452" s="173"/>
      <c r="AB452" s="173"/>
      <c r="AC452" s="173"/>
      <c r="AD452" s="173"/>
      <c r="AE452" s="173"/>
      <c r="AF452" s="173"/>
      <c r="AG452" s="173"/>
      <c r="AH452" s="173"/>
      <c r="AI452" s="173"/>
      <c r="AJ452" s="173"/>
      <c r="AK452" s="173"/>
      <c r="AL452" s="173"/>
      <c r="AM452" s="173"/>
      <c r="AN452" s="173"/>
      <c r="AO452" s="173"/>
      <c r="AP452" s="173"/>
    </row>
    <row r="453" spans="1:42">
      <c r="F453" s="692"/>
      <c r="G453" s="692"/>
      <c r="H453" s="692"/>
      <c r="I453" s="692"/>
      <c r="J453" s="692"/>
      <c r="K453" s="692"/>
      <c r="L453" s="692"/>
      <c r="M453" s="692"/>
      <c r="N453" s="692"/>
      <c r="O453" s="692"/>
      <c r="P453" s="692"/>
      <c r="Q453" s="173"/>
      <c r="R453" s="173"/>
      <c r="S453" s="173"/>
      <c r="T453" s="173"/>
      <c r="U453" s="173"/>
      <c r="V453" s="173"/>
      <c r="W453" s="173"/>
      <c r="X453" s="173"/>
      <c r="Y453" s="173"/>
      <c r="Z453" s="173"/>
      <c r="AA453" s="173"/>
      <c r="AB453" s="173"/>
      <c r="AC453" s="173"/>
      <c r="AD453" s="173"/>
      <c r="AE453" s="173"/>
      <c r="AF453" s="173"/>
      <c r="AG453" s="173"/>
      <c r="AH453" s="173"/>
      <c r="AI453" s="173"/>
      <c r="AJ453" s="173"/>
      <c r="AK453" s="173"/>
      <c r="AL453" s="173"/>
      <c r="AM453" s="173"/>
      <c r="AN453" s="173"/>
      <c r="AO453" s="173"/>
      <c r="AP453" s="173"/>
    </row>
    <row r="454" spans="1:42">
      <c r="F454" s="692"/>
      <c r="G454" s="692"/>
      <c r="H454" s="692"/>
      <c r="I454" s="692"/>
      <c r="J454" s="692"/>
      <c r="K454" s="692"/>
      <c r="L454" s="692"/>
      <c r="M454" s="692"/>
      <c r="N454" s="692"/>
      <c r="O454" s="692"/>
      <c r="P454" s="692"/>
      <c r="Q454" s="173"/>
      <c r="R454" s="173"/>
      <c r="S454" s="173"/>
      <c r="T454" s="173"/>
      <c r="U454" s="173"/>
      <c r="V454" s="173"/>
      <c r="W454" s="173"/>
      <c r="X454" s="173"/>
      <c r="Y454" s="173"/>
      <c r="Z454" s="173"/>
      <c r="AA454" s="173"/>
      <c r="AB454" s="173"/>
      <c r="AC454" s="173"/>
      <c r="AD454" s="173"/>
      <c r="AE454" s="173"/>
      <c r="AF454" s="173"/>
      <c r="AG454" s="173"/>
      <c r="AH454" s="173"/>
      <c r="AI454" s="173"/>
      <c r="AJ454" s="173"/>
      <c r="AK454" s="173"/>
      <c r="AL454" s="173"/>
      <c r="AM454" s="173"/>
      <c r="AN454" s="173"/>
      <c r="AO454" s="173"/>
      <c r="AP454" s="173"/>
    </row>
    <row r="455" spans="1:42">
      <c r="F455" s="692"/>
      <c r="G455" s="692"/>
      <c r="H455" s="692"/>
      <c r="I455" s="692"/>
      <c r="J455" s="692"/>
      <c r="K455" s="692"/>
      <c r="L455" s="692"/>
      <c r="M455" s="692"/>
      <c r="N455" s="692"/>
      <c r="O455" s="692"/>
      <c r="P455" s="692"/>
      <c r="Q455" s="173"/>
      <c r="R455" s="173"/>
      <c r="S455" s="173"/>
      <c r="T455" s="173"/>
      <c r="U455" s="173"/>
      <c r="V455" s="173"/>
      <c r="W455" s="173"/>
      <c r="X455" s="173"/>
      <c r="Y455" s="173"/>
      <c r="Z455" s="173"/>
      <c r="AA455" s="173"/>
      <c r="AB455" s="173"/>
      <c r="AC455" s="173"/>
      <c r="AD455" s="173"/>
      <c r="AE455" s="173"/>
      <c r="AF455" s="173"/>
      <c r="AG455" s="173"/>
      <c r="AH455" s="173"/>
      <c r="AI455" s="173"/>
      <c r="AJ455" s="173"/>
      <c r="AK455" s="173"/>
      <c r="AL455" s="173"/>
      <c r="AM455" s="173"/>
      <c r="AN455" s="173"/>
      <c r="AO455" s="173"/>
      <c r="AP455" s="173"/>
    </row>
    <row r="456" spans="1:42">
      <c r="F456" s="727"/>
      <c r="G456" s="692"/>
      <c r="H456" s="727"/>
      <c r="I456" s="692"/>
      <c r="J456" s="692"/>
      <c r="K456" s="692"/>
      <c r="L456" s="692"/>
      <c r="M456" s="692"/>
      <c r="N456" s="692"/>
      <c r="O456" s="692"/>
      <c r="P456" s="692"/>
      <c r="Q456" s="173"/>
      <c r="R456" s="173"/>
      <c r="S456" s="173"/>
      <c r="T456" s="173"/>
      <c r="U456" s="173"/>
      <c r="V456" s="173"/>
      <c r="W456" s="173"/>
      <c r="X456" s="173"/>
      <c r="Y456" s="173"/>
      <c r="Z456" s="173"/>
      <c r="AA456" s="173"/>
      <c r="AB456" s="173"/>
      <c r="AC456" s="173"/>
      <c r="AD456" s="173"/>
      <c r="AE456" s="173"/>
      <c r="AF456" s="173"/>
      <c r="AG456" s="173"/>
      <c r="AH456" s="173"/>
      <c r="AI456" s="173"/>
      <c r="AJ456" s="173"/>
      <c r="AK456" s="173"/>
      <c r="AL456" s="173"/>
      <c r="AM456" s="173"/>
      <c r="AN456" s="173"/>
      <c r="AO456" s="173"/>
      <c r="AP456" s="173"/>
    </row>
    <row r="457" spans="1:42">
      <c r="F457" s="692"/>
      <c r="G457" s="692"/>
      <c r="H457" s="692"/>
      <c r="I457" s="692"/>
      <c r="J457" s="692"/>
      <c r="K457" s="692"/>
      <c r="L457" s="692"/>
      <c r="M457" s="692"/>
      <c r="N457" s="692"/>
      <c r="O457" s="692"/>
      <c r="P457" s="692"/>
      <c r="Q457" s="173"/>
      <c r="R457" s="173"/>
      <c r="S457" s="173"/>
      <c r="T457" s="173"/>
      <c r="U457" s="173"/>
      <c r="V457" s="173"/>
      <c r="W457" s="173"/>
      <c r="X457" s="173"/>
      <c r="Y457" s="173"/>
      <c r="Z457" s="173"/>
      <c r="AA457" s="173"/>
      <c r="AB457" s="173"/>
      <c r="AC457" s="173"/>
      <c r="AD457" s="173"/>
      <c r="AE457" s="173"/>
      <c r="AF457" s="173"/>
      <c r="AG457" s="173"/>
      <c r="AH457" s="173"/>
      <c r="AI457" s="173"/>
      <c r="AJ457" s="173"/>
      <c r="AK457" s="173"/>
      <c r="AL457" s="173"/>
      <c r="AM457" s="173"/>
      <c r="AN457" s="173"/>
      <c r="AO457" s="173"/>
      <c r="AP457" s="173"/>
    </row>
    <row r="458" spans="1:42">
      <c r="F458" s="692"/>
      <c r="G458" s="692"/>
      <c r="H458" s="692"/>
      <c r="I458" s="692"/>
      <c r="J458" s="692"/>
      <c r="K458" s="692"/>
      <c r="L458" s="692"/>
      <c r="M458" s="692"/>
      <c r="N458" s="692"/>
      <c r="O458" s="692"/>
      <c r="P458" s="692"/>
      <c r="Q458" s="173"/>
      <c r="R458" s="173"/>
      <c r="S458" s="173"/>
      <c r="T458" s="173"/>
      <c r="U458" s="173"/>
      <c r="V458" s="173"/>
      <c r="W458" s="173"/>
      <c r="X458" s="173"/>
      <c r="Y458" s="173"/>
      <c r="Z458" s="173"/>
      <c r="AA458" s="173"/>
      <c r="AB458" s="173"/>
      <c r="AC458" s="173"/>
      <c r="AD458" s="173"/>
      <c r="AE458" s="173"/>
      <c r="AF458" s="173"/>
      <c r="AG458" s="173"/>
      <c r="AH458" s="173"/>
      <c r="AI458" s="173"/>
      <c r="AJ458" s="173"/>
      <c r="AK458" s="173"/>
      <c r="AL458" s="173"/>
      <c r="AM458" s="173"/>
      <c r="AN458" s="173"/>
      <c r="AO458" s="173"/>
      <c r="AP458" s="173"/>
    </row>
    <row r="459" spans="1:42">
      <c r="F459" s="692"/>
      <c r="G459" s="692"/>
      <c r="H459" s="692"/>
      <c r="I459" s="692"/>
      <c r="J459" s="692"/>
      <c r="K459" s="692"/>
      <c r="L459" s="692"/>
      <c r="M459" s="692"/>
      <c r="N459" s="692"/>
      <c r="O459" s="692"/>
      <c r="P459" s="692"/>
      <c r="Q459" s="173"/>
      <c r="R459" s="173"/>
      <c r="S459" s="173"/>
      <c r="T459" s="173"/>
      <c r="U459" s="173"/>
      <c r="V459" s="173"/>
      <c r="W459" s="173"/>
      <c r="X459" s="173"/>
      <c r="Y459" s="173"/>
      <c r="Z459" s="173"/>
      <c r="AA459" s="173"/>
      <c r="AB459" s="173"/>
      <c r="AC459" s="173"/>
      <c r="AD459" s="173"/>
      <c r="AE459" s="173"/>
      <c r="AF459" s="173"/>
      <c r="AG459" s="173"/>
      <c r="AH459" s="173"/>
      <c r="AI459" s="173"/>
      <c r="AJ459" s="173"/>
      <c r="AK459" s="173"/>
      <c r="AL459" s="173"/>
      <c r="AM459" s="173"/>
      <c r="AN459" s="173"/>
      <c r="AO459" s="173"/>
      <c r="AP459" s="173"/>
    </row>
    <row r="460" spans="1:42" ht="12.75" customHeight="1">
      <c r="F460" s="692"/>
      <c r="G460" s="692"/>
      <c r="H460" s="692"/>
      <c r="I460" s="692"/>
      <c r="J460" s="692"/>
      <c r="K460" s="692"/>
      <c r="L460" s="692"/>
      <c r="M460" s="692"/>
      <c r="N460" s="692"/>
      <c r="O460" s="692"/>
      <c r="P460" s="692"/>
      <c r="Q460" s="173"/>
      <c r="R460" s="173"/>
      <c r="S460" s="173"/>
      <c r="T460" s="173"/>
      <c r="U460" s="173"/>
      <c r="V460" s="173"/>
      <c r="W460" s="173"/>
      <c r="X460" s="173"/>
      <c r="Y460" s="173"/>
      <c r="Z460" s="173"/>
      <c r="AA460" s="173"/>
      <c r="AB460" s="173"/>
      <c r="AC460" s="173"/>
      <c r="AD460" s="173"/>
      <c r="AE460" s="173"/>
      <c r="AF460" s="173"/>
      <c r="AG460" s="173"/>
      <c r="AH460" s="173"/>
      <c r="AI460" s="173"/>
      <c r="AJ460" s="173"/>
      <c r="AK460" s="173"/>
      <c r="AL460" s="173"/>
      <c r="AM460" s="173"/>
      <c r="AN460" s="173"/>
      <c r="AO460" s="173"/>
      <c r="AP460" s="173"/>
    </row>
    <row r="461" spans="1:42" ht="12.75" customHeight="1">
      <c r="F461" s="692"/>
      <c r="G461" s="692"/>
      <c r="H461" s="692"/>
      <c r="I461" s="692"/>
      <c r="J461" s="692"/>
      <c r="K461" s="692"/>
      <c r="L461" s="692"/>
      <c r="M461" s="692"/>
      <c r="N461" s="692"/>
      <c r="O461" s="692"/>
      <c r="P461" s="692"/>
      <c r="Q461" s="173"/>
      <c r="R461" s="173"/>
      <c r="S461" s="173"/>
      <c r="T461" s="173"/>
      <c r="U461" s="173"/>
      <c r="V461" s="173"/>
      <c r="W461" s="173"/>
      <c r="X461" s="173"/>
      <c r="Y461" s="173"/>
      <c r="Z461" s="173"/>
      <c r="AA461" s="173"/>
      <c r="AB461" s="173"/>
      <c r="AC461" s="173"/>
      <c r="AD461" s="173"/>
      <c r="AE461" s="173"/>
      <c r="AF461" s="173"/>
      <c r="AG461" s="173"/>
      <c r="AH461" s="173"/>
      <c r="AI461" s="173"/>
      <c r="AJ461" s="173"/>
      <c r="AK461" s="173"/>
      <c r="AL461" s="173"/>
      <c r="AM461" s="173"/>
      <c r="AN461" s="173"/>
      <c r="AO461" s="173"/>
      <c r="AP461" s="173"/>
    </row>
    <row r="462" spans="1:42">
      <c r="F462" s="692"/>
      <c r="G462" s="692"/>
      <c r="H462" s="692"/>
      <c r="I462" s="692"/>
      <c r="J462" s="692"/>
      <c r="K462" s="692"/>
      <c r="L462" s="692"/>
      <c r="M462" s="692"/>
      <c r="N462" s="692"/>
      <c r="O462" s="692"/>
      <c r="P462" s="692"/>
      <c r="Q462" s="173"/>
      <c r="R462" s="173"/>
      <c r="S462" s="173"/>
      <c r="T462" s="173"/>
      <c r="U462" s="173"/>
      <c r="V462" s="173"/>
      <c r="W462" s="173"/>
      <c r="X462" s="173"/>
      <c r="Y462" s="173"/>
      <c r="Z462" s="173"/>
      <c r="AA462" s="173"/>
      <c r="AB462" s="173"/>
      <c r="AC462" s="173"/>
      <c r="AD462" s="173"/>
      <c r="AE462" s="173"/>
      <c r="AF462" s="173"/>
      <c r="AG462" s="173"/>
      <c r="AH462" s="173"/>
      <c r="AI462" s="173"/>
      <c r="AJ462" s="173"/>
      <c r="AK462" s="173"/>
      <c r="AL462" s="173"/>
      <c r="AM462" s="173"/>
      <c r="AN462" s="173"/>
      <c r="AO462" s="173"/>
      <c r="AP462" s="173"/>
    </row>
    <row r="463" spans="1:42">
      <c r="A463" s="727"/>
      <c r="B463" s="727"/>
      <c r="C463" s="727"/>
      <c r="D463" s="727"/>
      <c r="E463" s="727"/>
      <c r="F463" s="692"/>
      <c r="G463" s="692"/>
      <c r="H463" s="692"/>
      <c r="I463" s="692"/>
      <c r="J463" s="692"/>
      <c r="K463" s="692"/>
      <c r="L463" s="692"/>
      <c r="M463" s="692"/>
      <c r="N463" s="692"/>
      <c r="O463" s="692"/>
      <c r="P463" s="692"/>
      <c r="Q463" s="173"/>
      <c r="R463" s="173"/>
      <c r="S463" s="173"/>
      <c r="T463" s="173"/>
      <c r="U463" s="173"/>
      <c r="V463" s="173"/>
      <c r="W463" s="173"/>
      <c r="X463" s="173"/>
      <c r="Y463" s="173"/>
      <c r="Z463" s="173"/>
      <c r="AA463" s="173"/>
      <c r="AB463" s="173"/>
      <c r="AC463" s="173"/>
      <c r="AD463" s="173"/>
      <c r="AE463" s="173"/>
      <c r="AF463" s="173"/>
      <c r="AG463" s="173"/>
      <c r="AH463" s="173"/>
      <c r="AI463" s="173"/>
      <c r="AJ463" s="173"/>
      <c r="AK463" s="173"/>
      <c r="AL463" s="173"/>
      <c r="AM463" s="173"/>
      <c r="AN463" s="173"/>
      <c r="AO463" s="173"/>
      <c r="AP463" s="173"/>
    </row>
    <row r="464" spans="1:42">
      <c r="F464" s="692"/>
      <c r="G464" s="692"/>
      <c r="H464" s="692"/>
      <c r="I464" s="692"/>
      <c r="J464" s="692"/>
      <c r="K464" s="692"/>
      <c r="L464" s="692"/>
      <c r="M464" s="692"/>
      <c r="N464" s="692"/>
      <c r="O464" s="692"/>
      <c r="P464" s="692"/>
      <c r="Q464" s="173"/>
      <c r="R464" s="173"/>
      <c r="S464" s="173"/>
      <c r="T464" s="173"/>
      <c r="U464" s="173"/>
      <c r="V464" s="173"/>
      <c r="W464" s="173"/>
      <c r="X464" s="173"/>
      <c r="Y464" s="173"/>
      <c r="Z464" s="173"/>
      <c r="AA464" s="173"/>
      <c r="AB464" s="173"/>
      <c r="AC464" s="173"/>
      <c r="AD464" s="173"/>
      <c r="AE464" s="173"/>
      <c r="AF464" s="173"/>
      <c r="AG464" s="173"/>
      <c r="AH464" s="173"/>
      <c r="AI464" s="173"/>
      <c r="AJ464" s="173"/>
      <c r="AK464" s="173"/>
      <c r="AL464" s="173"/>
      <c r="AM464" s="173"/>
      <c r="AN464" s="173"/>
      <c r="AO464" s="173"/>
      <c r="AP464" s="173"/>
    </row>
    <row r="465" spans="6:42">
      <c r="F465" s="692"/>
      <c r="G465" s="692"/>
      <c r="H465" s="692"/>
      <c r="I465" s="692"/>
      <c r="J465" s="692"/>
      <c r="K465" s="692"/>
      <c r="L465" s="692"/>
      <c r="M465" s="692"/>
      <c r="N465" s="692"/>
      <c r="O465" s="692"/>
      <c r="P465" s="692"/>
      <c r="Q465" s="173"/>
      <c r="R465" s="173"/>
      <c r="S465" s="173"/>
      <c r="T465" s="173"/>
      <c r="U465" s="173"/>
      <c r="V465" s="173"/>
      <c r="W465" s="173"/>
      <c r="X465" s="173"/>
      <c r="Y465" s="173"/>
      <c r="Z465" s="173"/>
      <c r="AA465" s="173"/>
      <c r="AB465" s="173"/>
      <c r="AC465" s="173"/>
      <c r="AD465" s="173"/>
      <c r="AE465" s="173"/>
      <c r="AF465" s="173"/>
      <c r="AG465" s="173"/>
      <c r="AH465" s="173"/>
      <c r="AI465" s="173"/>
      <c r="AJ465" s="173"/>
      <c r="AK465" s="173"/>
      <c r="AL465" s="173"/>
      <c r="AM465" s="173"/>
      <c r="AN465" s="173"/>
      <c r="AO465" s="173"/>
      <c r="AP465" s="173"/>
    </row>
    <row r="466" spans="6:42">
      <c r="F466" s="692"/>
      <c r="G466" s="692"/>
      <c r="H466" s="692"/>
      <c r="I466" s="692"/>
      <c r="J466" s="692"/>
      <c r="K466" s="692"/>
      <c r="L466" s="692"/>
      <c r="M466" s="692"/>
      <c r="N466" s="692"/>
      <c r="O466" s="692"/>
      <c r="P466" s="692"/>
      <c r="Q466" s="173"/>
      <c r="R466" s="173"/>
      <c r="S466" s="173"/>
      <c r="T466" s="173"/>
      <c r="U466" s="173"/>
      <c r="V466" s="173"/>
      <c r="W466" s="173"/>
      <c r="X466" s="173"/>
      <c r="Y466" s="173"/>
      <c r="Z466" s="173"/>
      <c r="AA466" s="173"/>
      <c r="AB466" s="173"/>
      <c r="AC466" s="173"/>
      <c r="AD466" s="173"/>
      <c r="AE466" s="173"/>
      <c r="AF466" s="173"/>
      <c r="AG466" s="173"/>
      <c r="AH466" s="173"/>
      <c r="AI466" s="173"/>
      <c r="AJ466" s="173"/>
      <c r="AK466" s="173"/>
      <c r="AL466" s="173"/>
      <c r="AM466" s="173"/>
      <c r="AN466" s="173"/>
      <c r="AO466" s="173"/>
      <c r="AP466" s="173"/>
    </row>
    <row r="467" spans="6:42">
      <c r="F467" s="692"/>
      <c r="G467" s="692"/>
      <c r="H467" s="692"/>
      <c r="I467" s="692"/>
      <c r="J467" s="692"/>
      <c r="K467" s="692"/>
      <c r="L467" s="692"/>
      <c r="M467" s="692"/>
      <c r="N467" s="692"/>
      <c r="O467" s="692"/>
      <c r="P467" s="692"/>
      <c r="Q467" s="173"/>
      <c r="R467" s="173"/>
      <c r="S467" s="173"/>
      <c r="T467" s="173"/>
      <c r="U467" s="173"/>
      <c r="V467" s="173"/>
      <c r="W467" s="173"/>
      <c r="X467" s="173"/>
      <c r="Y467" s="173"/>
      <c r="Z467" s="173"/>
      <c r="AA467" s="173"/>
      <c r="AB467" s="173"/>
      <c r="AC467" s="173"/>
      <c r="AD467" s="173"/>
      <c r="AE467" s="173"/>
      <c r="AF467" s="173"/>
      <c r="AG467" s="173"/>
      <c r="AH467" s="173"/>
      <c r="AI467" s="173"/>
      <c r="AJ467" s="173"/>
      <c r="AK467" s="173"/>
      <c r="AL467" s="173"/>
      <c r="AM467" s="173"/>
      <c r="AN467" s="173"/>
      <c r="AO467" s="173"/>
      <c r="AP467" s="173"/>
    </row>
    <row r="468" spans="6:42">
      <c r="F468" s="692"/>
      <c r="G468" s="692"/>
      <c r="H468" s="692"/>
      <c r="I468" s="692"/>
      <c r="J468" s="692"/>
      <c r="K468" s="692"/>
      <c r="L468" s="692"/>
      <c r="M468" s="692"/>
      <c r="N468" s="692"/>
      <c r="O468" s="692"/>
      <c r="P468" s="692"/>
      <c r="Q468" s="173"/>
      <c r="R468" s="173"/>
      <c r="S468" s="173"/>
      <c r="T468" s="173"/>
      <c r="U468" s="173"/>
      <c r="V468" s="173"/>
      <c r="W468" s="173"/>
      <c r="X468" s="173"/>
      <c r="Y468" s="173"/>
      <c r="Z468" s="173"/>
      <c r="AA468" s="173"/>
      <c r="AB468" s="173"/>
      <c r="AC468" s="173"/>
      <c r="AD468" s="173"/>
      <c r="AE468" s="173"/>
      <c r="AF468" s="173"/>
      <c r="AG468" s="173"/>
      <c r="AH468" s="173"/>
      <c r="AI468" s="173"/>
      <c r="AJ468" s="173"/>
      <c r="AK468" s="173"/>
      <c r="AL468" s="173"/>
      <c r="AM468" s="173"/>
      <c r="AN468" s="173"/>
      <c r="AO468" s="173"/>
      <c r="AP468" s="173"/>
    </row>
    <row r="469" spans="6:42">
      <c r="F469" s="692"/>
      <c r="G469" s="692"/>
      <c r="H469" s="692"/>
      <c r="I469" s="692"/>
      <c r="J469" s="692"/>
      <c r="K469" s="692"/>
      <c r="L469" s="692"/>
      <c r="M469" s="692"/>
      <c r="N469" s="692"/>
      <c r="O469" s="692"/>
      <c r="P469" s="692"/>
      <c r="Q469" s="173"/>
      <c r="R469" s="173"/>
      <c r="S469" s="173"/>
      <c r="T469" s="173"/>
      <c r="U469" s="173"/>
      <c r="V469" s="173"/>
      <c r="W469" s="173"/>
      <c r="X469" s="173"/>
      <c r="Y469" s="173"/>
      <c r="Z469" s="173"/>
      <c r="AA469" s="173"/>
      <c r="AB469" s="173"/>
      <c r="AC469" s="173"/>
      <c r="AD469" s="173"/>
      <c r="AE469" s="173"/>
      <c r="AF469" s="173"/>
      <c r="AG469" s="173"/>
      <c r="AH469" s="173"/>
      <c r="AI469" s="173"/>
      <c r="AJ469" s="173"/>
      <c r="AK469" s="173"/>
      <c r="AL469" s="173"/>
      <c r="AM469" s="173"/>
      <c r="AN469" s="173"/>
      <c r="AO469" s="173"/>
      <c r="AP469" s="173"/>
    </row>
    <row r="470" spans="6:42">
      <c r="F470" s="692"/>
      <c r="G470" s="692"/>
      <c r="H470" s="692"/>
      <c r="I470" s="692"/>
      <c r="J470" s="692"/>
      <c r="K470" s="692"/>
      <c r="L470" s="692"/>
      <c r="M470" s="692"/>
      <c r="N470" s="692"/>
      <c r="O470" s="692"/>
      <c r="P470" s="692"/>
      <c r="Q470" s="173"/>
      <c r="R470" s="173"/>
      <c r="S470" s="173"/>
      <c r="T470" s="173"/>
      <c r="U470" s="173"/>
      <c r="V470" s="173"/>
      <c r="W470" s="173"/>
      <c r="X470" s="173"/>
      <c r="Y470" s="173"/>
      <c r="Z470" s="173"/>
      <c r="AA470" s="173"/>
      <c r="AB470" s="173"/>
      <c r="AC470" s="173"/>
      <c r="AD470" s="173"/>
      <c r="AE470" s="173"/>
      <c r="AF470" s="173"/>
      <c r="AG470" s="173"/>
      <c r="AH470" s="173"/>
      <c r="AI470" s="173"/>
      <c r="AJ470" s="173"/>
      <c r="AK470" s="173"/>
      <c r="AL470" s="173"/>
      <c r="AM470" s="173"/>
      <c r="AN470" s="173"/>
      <c r="AO470" s="173"/>
      <c r="AP470" s="173"/>
    </row>
    <row r="471" spans="6:42">
      <c r="F471" s="692"/>
      <c r="G471" s="692"/>
      <c r="H471" s="692"/>
      <c r="I471" s="692"/>
      <c r="J471" s="692"/>
      <c r="K471" s="692"/>
      <c r="L471" s="692"/>
      <c r="M471" s="692"/>
      <c r="N471" s="692"/>
      <c r="O471" s="692"/>
      <c r="P471" s="692"/>
      <c r="Q471" s="173"/>
      <c r="R471" s="173"/>
      <c r="S471" s="173"/>
      <c r="T471" s="173"/>
      <c r="U471" s="173"/>
      <c r="V471" s="173"/>
      <c r="W471" s="173"/>
      <c r="X471" s="173"/>
      <c r="Y471" s="173"/>
      <c r="Z471" s="173"/>
      <c r="AA471" s="173"/>
      <c r="AB471" s="173"/>
      <c r="AC471" s="173"/>
      <c r="AD471" s="173"/>
      <c r="AE471" s="173"/>
      <c r="AF471" s="173"/>
      <c r="AG471" s="173"/>
      <c r="AH471" s="173"/>
      <c r="AI471" s="173"/>
      <c r="AJ471" s="173"/>
      <c r="AK471" s="173"/>
      <c r="AL471" s="173"/>
      <c r="AM471" s="173"/>
      <c r="AN471" s="173"/>
      <c r="AO471" s="173"/>
      <c r="AP471" s="173"/>
    </row>
    <row r="472" spans="6:42">
      <c r="F472" s="692"/>
      <c r="G472" s="692"/>
      <c r="H472" s="692"/>
      <c r="I472" s="692"/>
      <c r="J472" s="692"/>
      <c r="K472" s="692"/>
      <c r="L472" s="692"/>
      <c r="M472" s="692"/>
      <c r="N472" s="692"/>
      <c r="O472" s="692"/>
      <c r="P472" s="692"/>
      <c r="Q472" s="173"/>
      <c r="R472" s="173"/>
      <c r="S472" s="173"/>
      <c r="T472" s="173"/>
      <c r="U472" s="173"/>
      <c r="V472" s="173"/>
      <c r="W472" s="173"/>
      <c r="X472" s="173"/>
      <c r="Y472" s="173"/>
      <c r="Z472" s="173"/>
      <c r="AA472" s="173"/>
      <c r="AB472" s="173"/>
      <c r="AC472" s="173"/>
      <c r="AD472" s="173"/>
      <c r="AE472" s="173"/>
      <c r="AF472" s="173"/>
      <c r="AG472" s="173"/>
      <c r="AH472" s="173"/>
      <c r="AI472" s="173"/>
      <c r="AJ472" s="173"/>
      <c r="AK472" s="173"/>
      <c r="AL472" s="173"/>
      <c r="AM472" s="173"/>
      <c r="AN472" s="173"/>
      <c r="AO472" s="173"/>
      <c r="AP472" s="173"/>
    </row>
    <row r="473" spans="6:42">
      <c r="F473" s="692"/>
      <c r="G473" s="692"/>
      <c r="H473" s="692"/>
      <c r="I473" s="692"/>
      <c r="J473" s="692"/>
      <c r="K473" s="692"/>
      <c r="L473" s="692"/>
      <c r="M473" s="692"/>
      <c r="N473" s="692"/>
      <c r="O473" s="692"/>
      <c r="P473" s="692"/>
      <c r="Q473" s="173"/>
      <c r="R473" s="173"/>
      <c r="S473" s="173"/>
      <c r="T473" s="173"/>
      <c r="U473" s="173"/>
      <c r="V473" s="173"/>
      <c r="W473" s="173"/>
      <c r="X473" s="173"/>
      <c r="Y473" s="173"/>
      <c r="Z473" s="173"/>
      <c r="AA473" s="173"/>
      <c r="AB473" s="173"/>
      <c r="AC473" s="173"/>
      <c r="AD473" s="173"/>
      <c r="AE473" s="173"/>
      <c r="AF473" s="173"/>
      <c r="AG473" s="173"/>
      <c r="AH473" s="173"/>
      <c r="AI473" s="173"/>
      <c r="AJ473" s="173"/>
      <c r="AK473" s="173"/>
      <c r="AL473" s="173"/>
      <c r="AM473" s="173"/>
      <c r="AN473" s="173"/>
      <c r="AO473" s="173"/>
      <c r="AP473" s="173"/>
    </row>
    <row r="474" spans="6:42">
      <c r="F474" s="692"/>
      <c r="G474" s="692"/>
      <c r="H474" s="692"/>
      <c r="I474" s="692"/>
      <c r="J474" s="692"/>
      <c r="K474" s="692"/>
      <c r="L474" s="692"/>
      <c r="M474" s="692"/>
      <c r="N474" s="692"/>
      <c r="O474" s="692"/>
      <c r="P474" s="692"/>
      <c r="Q474" s="173"/>
      <c r="R474" s="173"/>
      <c r="S474" s="173"/>
      <c r="T474" s="173"/>
      <c r="U474" s="173"/>
      <c r="V474" s="173"/>
      <c r="W474" s="173"/>
      <c r="X474" s="173"/>
      <c r="Y474" s="173"/>
      <c r="Z474" s="173"/>
      <c r="AA474" s="173"/>
      <c r="AB474" s="173"/>
      <c r="AC474" s="173"/>
      <c r="AD474" s="173"/>
      <c r="AE474" s="173"/>
      <c r="AF474" s="173"/>
      <c r="AG474" s="173"/>
      <c r="AH474" s="173"/>
      <c r="AI474" s="173"/>
      <c r="AJ474" s="173"/>
      <c r="AK474" s="173"/>
      <c r="AL474" s="173"/>
      <c r="AM474" s="173"/>
      <c r="AN474" s="173"/>
      <c r="AO474" s="173"/>
      <c r="AP474" s="173"/>
    </row>
    <row r="475" spans="6:42">
      <c r="F475" s="692"/>
      <c r="G475" s="692"/>
      <c r="H475" s="692"/>
      <c r="I475" s="692"/>
      <c r="J475" s="692"/>
      <c r="K475" s="692"/>
      <c r="L475" s="692"/>
      <c r="M475" s="692"/>
      <c r="N475" s="692"/>
      <c r="O475" s="692"/>
      <c r="P475" s="692"/>
      <c r="Q475" s="173"/>
      <c r="R475" s="173"/>
      <c r="S475" s="173"/>
      <c r="T475" s="173"/>
      <c r="U475" s="173"/>
      <c r="V475" s="173"/>
      <c r="W475" s="173"/>
      <c r="X475" s="173"/>
      <c r="Y475" s="173"/>
      <c r="Z475" s="173"/>
      <c r="AA475" s="173"/>
      <c r="AB475" s="173"/>
      <c r="AC475" s="173"/>
      <c r="AD475" s="173"/>
      <c r="AE475" s="173"/>
      <c r="AF475" s="173"/>
      <c r="AG475" s="173"/>
      <c r="AH475" s="173"/>
      <c r="AI475" s="173"/>
      <c r="AJ475" s="173"/>
      <c r="AK475" s="173"/>
      <c r="AL475" s="173"/>
      <c r="AM475" s="173"/>
      <c r="AN475" s="173"/>
      <c r="AO475" s="173"/>
      <c r="AP475" s="173"/>
    </row>
    <row r="476" spans="6:42">
      <c r="F476" s="692"/>
      <c r="G476" s="692"/>
      <c r="H476" s="692"/>
      <c r="I476" s="692"/>
      <c r="J476" s="692"/>
      <c r="K476" s="692"/>
      <c r="L476" s="692"/>
      <c r="M476" s="692"/>
      <c r="N476" s="692"/>
      <c r="O476" s="692"/>
      <c r="P476" s="692"/>
      <c r="Q476" s="173"/>
      <c r="R476" s="173"/>
      <c r="S476" s="173"/>
      <c r="T476" s="173"/>
      <c r="U476" s="173"/>
      <c r="V476" s="173"/>
      <c r="W476" s="173"/>
      <c r="X476" s="173"/>
      <c r="Y476" s="173"/>
      <c r="Z476" s="173"/>
      <c r="AA476" s="173"/>
      <c r="AB476" s="173"/>
      <c r="AC476" s="173"/>
      <c r="AD476" s="173"/>
      <c r="AE476" s="173"/>
      <c r="AF476" s="173"/>
      <c r="AG476" s="173"/>
      <c r="AH476" s="173"/>
      <c r="AI476" s="173"/>
      <c r="AJ476" s="173"/>
      <c r="AK476" s="173"/>
      <c r="AL476" s="173"/>
      <c r="AM476" s="173"/>
      <c r="AN476" s="173"/>
      <c r="AO476" s="173"/>
      <c r="AP476" s="173"/>
    </row>
    <row r="477" spans="6:42">
      <c r="F477" s="692"/>
      <c r="G477" s="692"/>
      <c r="H477" s="692"/>
      <c r="I477" s="692"/>
      <c r="J477" s="692"/>
      <c r="K477" s="692"/>
      <c r="L477" s="692"/>
      <c r="M477" s="692"/>
      <c r="N477" s="692"/>
      <c r="O477" s="692"/>
      <c r="P477" s="692"/>
      <c r="Q477" s="173"/>
      <c r="R477" s="173"/>
      <c r="S477" s="173"/>
      <c r="T477" s="173"/>
      <c r="U477" s="173"/>
      <c r="V477" s="173"/>
      <c r="W477" s="173"/>
      <c r="X477" s="173"/>
      <c r="Y477" s="173"/>
      <c r="Z477" s="173"/>
      <c r="AA477" s="173"/>
      <c r="AB477" s="173"/>
      <c r="AC477" s="173"/>
      <c r="AD477" s="173"/>
      <c r="AE477" s="173"/>
      <c r="AF477" s="173"/>
      <c r="AG477" s="173"/>
      <c r="AH477" s="173"/>
      <c r="AI477" s="173"/>
      <c r="AJ477" s="173"/>
      <c r="AK477" s="173"/>
      <c r="AL477" s="173"/>
      <c r="AM477" s="173"/>
      <c r="AN477" s="173"/>
      <c r="AO477" s="173"/>
      <c r="AP477" s="173"/>
    </row>
    <row r="478" spans="6:42">
      <c r="F478" s="692"/>
      <c r="G478" s="692"/>
      <c r="H478" s="692"/>
      <c r="I478" s="692"/>
      <c r="J478" s="692"/>
      <c r="K478" s="692"/>
      <c r="L478" s="692"/>
      <c r="M478" s="692"/>
      <c r="N478" s="692"/>
      <c r="O478" s="692"/>
      <c r="P478" s="692"/>
      <c r="Q478" s="173"/>
      <c r="R478" s="173"/>
      <c r="S478" s="173"/>
      <c r="T478" s="173"/>
      <c r="U478" s="173"/>
      <c r="V478" s="173"/>
      <c r="W478" s="173"/>
      <c r="X478" s="173"/>
      <c r="Y478" s="173"/>
      <c r="Z478" s="173"/>
      <c r="AA478" s="173"/>
      <c r="AB478" s="173"/>
      <c r="AC478" s="173"/>
      <c r="AD478" s="173"/>
      <c r="AE478" s="173"/>
      <c r="AF478" s="173"/>
      <c r="AG478" s="173"/>
      <c r="AH478" s="173"/>
      <c r="AI478" s="173"/>
      <c r="AJ478" s="173"/>
      <c r="AK478" s="173"/>
      <c r="AL478" s="173"/>
      <c r="AM478" s="173"/>
      <c r="AN478" s="173"/>
      <c r="AO478" s="173"/>
      <c r="AP478" s="173"/>
    </row>
    <row r="479" spans="6:42">
      <c r="F479" s="692"/>
      <c r="G479" s="692"/>
      <c r="H479" s="692"/>
      <c r="I479" s="692"/>
      <c r="J479" s="692"/>
      <c r="K479" s="692"/>
      <c r="L479" s="692"/>
      <c r="M479" s="692"/>
      <c r="N479" s="692"/>
      <c r="O479" s="692"/>
      <c r="P479" s="692"/>
      <c r="Q479" s="173"/>
      <c r="R479" s="173"/>
      <c r="S479" s="173"/>
      <c r="T479" s="173"/>
      <c r="U479" s="173"/>
      <c r="V479" s="173"/>
      <c r="W479" s="173"/>
      <c r="X479" s="173"/>
      <c r="Y479" s="173"/>
      <c r="Z479" s="173"/>
      <c r="AA479" s="173"/>
      <c r="AB479" s="173"/>
      <c r="AC479" s="173"/>
      <c r="AD479" s="173"/>
      <c r="AE479" s="173"/>
      <c r="AF479" s="173"/>
      <c r="AG479" s="173"/>
      <c r="AH479" s="173"/>
      <c r="AI479" s="173"/>
      <c r="AJ479" s="173"/>
      <c r="AK479" s="173"/>
      <c r="AL479" s="173"/>
      <c r="AM479" s="173"/>
      <c r="AN479" s="173"/>
      <c r="AO479" s="173"/>
      <c r="AP479" s="173"/>
    </row>
    <row r="480" spans="6:42">
      <c r="F480" s="692"/>
      <c r="G480" s="692"/>
      <c r="H480" s="692"/>
      <c r="I480" s="692"/>
      <c r="J480" s="692"/>
      <c r="K480" s="692"/>
      <c r="L480" s="692"/>
      <c r="M480" s="692"/>
      <c r="N480" s="692"/>
      <c r="O480" s="692"/>
      <c r="P480" s="692"/>
      <c r="Q480" s="173"/>
      <c r="R480" s="173"/>
      <c r="S480" s="173"/>
      <c r="T480" s="173"/>
      <c r="U480" s="173"/>
      <c r="V480" s="173"/>
      <c r="W480" s="173"/>
      <c r="X480" s="173"/>
      <c r="Y480" s="173"/>
      <c r="Z480" s="173"/>
      <c r="AA480" s="173"/>
      <c r="AB480" s="173"/>
      <c r="AC480" s="173"/>
      <c r="AD480" s="173"/>
      <c r="AE480" s="173"/>
      <c r="AF480" s="173"/>
      <c r="AG480" s="173"/>
      <c r="AH480" s="173"/>
      <c r="AI480" s="173"/>
      <c r="AJ480" s="173"/>
      <c r="AK480" s="173"/>
      <c r="AL480" s="173"/>
      <c r="AM480" s="173"/>
      <c r="AN480" s="173"/>
      <c r="AO480" s="173"/>
      <c r="AP480" s="173"/>
    </row>
    <row r="481" spans="6:42">
      <c r="F481" s="692"/>
      <c r="G481" s="692"/>
      <c r="H481" s="692"/>
      <c r="I481" s="692"/>
      <c r="J481" s="692"/>
      <c r="K481" s="692"/>
      <c r="L481" s="692"/>
      <c r="M481" s="692"/>
      <c r="N481" s="692"/>
      <c r="O481" s="692"/>
      <c r="P481" s="692"/>
      <c r="Q481" s="173"/>
      <c r="R481" s="173"/>
      <c r="S481" s="173"/>
      <c r="T481" s="173"/>
      <c r="U481" s="173"/>
      <c r="V481" s="173"/>
      <c r="W481" s="173"/>
      <c r="X481" s="173"/>
      <c r="Y481" s="173"/>
      <c r="Z481" s="173"/>
      <c r="AA481" s="173"/>
      <c r="AB481" s="173"/>
      <c r="AC481" s="173"/>
      <c r="AD481" s="173"/>
      <c r="AE481" s="173"/>
      <c r="AF481" s="173"/>
      <c r="AG481" s="173"/>
      <c r="AH481" s="173"/>
      <c r="AI481" s="173"/>
      <c r="AJ481" s="173"/>
      <c r="AK481" s="173"/>
      <c r="AL481" s="173"/>
      <c r="AM481" s="173"/>
      <c r="AN481" s="173"/>
      <c r="AO481" s="173"/>
      <c r="AP481" s="173"/>
    </row>
    <row r="482" spans="6:42">
      <c r="F482" s="692"/>
      <c r="G482" s="692"/>
      <c r="H482" s="692"/>
      <c r="I482" s="692"/>
      <c r="J482" s="692"/>
      <c r="K482" s="692"/>
      <c r="L482" s="692"/>
      <c r="M482" s="692"/>
      <c r="N482" s="692"/>
      <c r="O482" s="692"/>
      <c r="P482" s="692"/>
      <c r="Q482" s="173"/>
      <c r="R482" s="173"/>
      <c r="S482" s="173"/>
      <c r="T482" s="173"/>
      <c r="U482" s="173"/>
      <c r="V482" s="173"/>
      <c r="W482" s="173"/>
      <c r="X482" s="173"/>
      <c r="Y482" s="173"/>
      <c r="Z482" s="173"/>
      <c r="AA482" s="173"/>
      <c r="AB482" s="173"/>
      <c r="AC482" s="173"/>
      <c r="AD482" s="173"/>
      <c r="AE482" s="173"/>
      <c r="AF482" s="173"/>
      <c r="AG482" s="173"/>
      <c r="AH482" s="173"/>
      <c r="AI482" s="173"/>
      <c r="AJ482" s="173"/>
      <c r="AK482" s="173"/>
      <c r="AL482" s="173"/>
      <c r="AM482" s="173"/>
      <c r="AN482" s="173"/>
      <c r="AO482" s="173"/>
      <c r="AP482" s="173"/>
    </row>
    <row r="483" spans="6:42">
      <c r="F483" s="692"/>
      <c r="G483" s="692"/>
      <c r="H483" s="692"/>
      <c r="I483" s="692"/>
      <c r="J483" s="692"/>
      <c r="K483" s="692"/>
      <c r="L483" s="692"/>
      <c r="M483" s="692"/>
      <c r="N483" s="692"/>
      <c r="O483" s="692"/>
      <c r="P483" s="692"/>
      <c r="Q483" s="173"/>
      <c r="R483" s="173"/>
      <c r="S483" s="173"/>
      <c r="T483" s="173"/>
      <c r="U483" s="173"/>
      <c r="V483" s="173"/>
      <c r="W483" s="173"/>
      <c r="X483" s="173"/>
      <c r="Y483" s="173"/>
      <c r="Z483" s="173"/>
      <c r="AA483" s="173"/>
      <c r="AB483" s="173"/>
      <c r="AC483" s="173"/>
      <c r="AD483" s="173"/>
      <c r="AE483" s="173"/>
      <c r="AF483" s="173"/>
      <c r="AG483" s="173"/>
      <c r="AH483" s="173"/>
      <c r="AI483" s="173"/>
      <c r="AJ483" s="173"/>
      <c r="AK483" s="173"/>
      <c r="AL483" s="173"/>
      <c r="AM483" s="173"/>
      <c r="AN483" s="173"/>
      <c r="AO483" s="173"/>
      <c r="AP483" s="173"/>
    </row>
    <row r="484" spans="6:42">
      <c r="F484" s="692"/>
      <c r="G484" s="692"/>
      <c r="H484" s="692"/>
      <c r="I484" s="692"/>
      <c r="J484" s="692"/>
      <c r="K484" s="692"/>
      <c r="L484" s="692"/>
      <c r="M484" s="692"/>
      <c r="N484" s="692"/>
      <c r="O484" s="692"/>
      <c r="P484" s="692"/>
      <c r="Q484" s="173"/>
      <c r="R484" s="173"/>
      <c r="S484" s="173"/>
      <c r="T484" s="173"/>
      <c r="U484" s="173"/>
      <c r="V484" s="173"/>
      <c r="W484" s="173"/>
      <c r="X484" s="173"/>
      <c r="Y484" s="173"/>
      <c r="Z484" s="173"/>
      <c r="AA484" s="173"/>
      <c r="AB484" s="173"/>
      <c r="AC484" s="173"/>
      <c r="AD484" s="173"/>
      <c r="AE484" s="173"/>
      <c r="AF484" s="173"/>
      <c r="AG484" s="173"/>
      <c r="AH484" s="173"/>
      <c r="AI484" s="173"/>
      <c r="AJ484" s="173"/>
      <c r="AK484" s="173"/>
      <c r="AL484" s="173"/>
      <c r="AM484" s="173"/>
      <c r="AN484" s="173"/>
      <c r="AO484" s="173"/>
      <c r="AP484" s="173"/>
    </row>
    <row r="485" spans="6:42">
      <c r="F485" s="692"/>
      <c r="G485" s="692"/>
      <c r="H485" s="692"/>
      <c r="I485" s="692"/>
      <c r="J485" s="692"/>
      <c r="K485" s="692"/>
      <c r="L485" s="692"/>
      <c r="M485" s="692"/>
      <c r="N485" s="692"/>
      <c r="O485" s="692"/>
      <c r="P485" s="692"/>
      <c r="Q485" s="173"/>
      <c r="R485" s="173"/>
      <c r="S485" s="173"/>
      <c r="T485" s="173"/>
      <c r="U485" s="173"/>
      <c r="V485" s="173"/>
      <c r="W485" s="173"/>
      <c r="X485" s="173"/>
      <c r="Y485" s="173"/>
      <c r="Z485" s="173"/>
      <c r="AA485" s="173"/>
      <c r="AB485" s="173"/>
      <c r="AC485" s="173"/>
      <c r="AD485" s="173"/>
      <c r="AE485" s="173"/>
      <c r="AF485" s="173"/>
      <c r="AG485" s="173"/>
      <c r="AH485" s="173"/>
      <c r="AI485" s="173"/>
      <c r="AJ485" s="173"/>
      <c r="AK485" s="173"/>
      <c r="AL485" s="173"/>
      <c r="AM485" s="173"/>
      <c r="AN485" s="173"/>
      <c r="AO485" s="173"/>
      <c r="AP485" s="173"/>
    </row>
    <row r="486" spans="6:42">
      <c r="F486" s="692"/>
      <c r="G486" s="692"/>
      <c r="H486" s="692"/>
      <c r="I486" s="692"/>
      <c r="J486" s="692"/>
      <c r="K486" s="692"/>
      <c r="L486" s="692"/>
      <c r="M486" s="692"/>
      <c r="N486" s="692"/>
      <c r="O486" s="692"/>
      <c r="P486" s="692"/>
      <c r="Q486" s="173"/>
      <c r="R486" s="173"/>
      <c r="S486" s="173"/>
      <c r="T486" s="173"/>
      <c r="U486" s="173"/>
      <c r="V486" s="173"/>
      <c r="W486" s="173"/>
      <c r="X486" s="173"/>
      <c r="Y486" s="173"/>
      <c r="Z486" s="173"/>
      <c r="AA486" s="173"/>
      <c r="AB486" s="173"/>
      <c r="AC486" s="173"/>
      <c r="AD486" s="173"/>
      <c r="AE486" s="173"/>
      <c r="AF486" s="173"/>
      <c r="AG486" s="173"/>
      <c r="AH486" s="173"/>
      <c r="AI486" s="173"/>
      <c r="AJ486" s="173"/>
      <c r="AK486" s="173"/>
      <c r="AL486" s="173"/>
      <c r="AM486" s="173"/>
      <c r="AN486" s="173"/>
      <c r="AO486" s="173"/>
      <c r="AP486" s="173"/>
    </row>
    <row r="487" spans="6:42">
      <c r="F487" s="692"/>
      <c r="G487" s="692"/>
      <c r="H487" s="692"/>
      <c r="I487" s="692"/>
      <c r="J487" s="692"/>
      <c r="K487" s="692"/>
      <c r="L487" s="692"/>
      <c r="M487" s="692"/>
      <c r="N487" s="692"/>
      <c r="O487" s="692"/>
      <c r="P487" s="692"/>
      <c r="Q487" s="173"/>
      <c r="R487" s="173"/>
      <c r="S487" s="173"/>
      <c r="T487" s="173"/>
      <c r="U487" s="173"/>
      <c r="V487" s="173"/>
      <c r="W487" s="173"/>
      <c r="X487" s="173"/>
      <c r="Y487" s="173"/>
      <c r="Z487" s="173"/>
      <c r="AA487" s="173"/>
      <c r="AB487" s="173"/>
      <c r="AC487" s="173"/>
      <c r="AD487" s="173"/>
      <c r="AE487" s="173"/>
      <c r="AF487" s="173"/>
      <c r="AG487" s="173"/>
      <c r="AH487" s="173"/>
      <c r="AI487" s="173"/>
      <c r="AJ487" s="173"/>
      <c r="AK487" s="173"/>
      <c r="AL487" s="173"/>
      <c r="AM487" s="173"/>
      <c r="AN487" s="173"/>
      <c r="AO487" s="173"/>
      <c r="AP487" s="173"/>
    </row>
    <row r="488" spans="6:42">
      <c r="F488" s="692"/>
      <c r="G488" s="692"/>
      <c r="H488" s="692"/>
      <c r="I488" s="692"/>
      <c r="J488" s="692"/>
      <c r="K488" s="692"/>
      <c r="L488" s="692"/>
      <c r="M488" s="692"/>
      <c r="N488" s="692"/>
      <c r="O488" s="692"/>
      <c r="P488" s="692"/>
      <c r="Q488" s="173"/>
      <c r="R488" s="173"/>
      <c r="S488" s="173"/>
      <c r="T488" s="173"/>
      <c r="U488" s="173"/>
      <c r="V488" s="173"/>
      <c r="W488" s="173"/>
      <c r="X488" s="173"/>
      <c r="Y488" s="173"/>
      <c r="Z488" s="173"/>
      <c r="AA488" s="173"/>
      <c r="AB488" s="173"/>
      <c r="AC488" s="173"/>
      <c r="AD488" s="173"/>
      <c r="AE488" s="173"/>
      <c r="AF488" s="173"/>
      <c r="AG488" s="173"/>
      <c r="AH488" s="173"/>
      <c r="AI488" s="173"/>
      <c r="AJ488" s="173"/>
      <c r="AK488" s="173"/>
      <c r="AL488" s="173"/>
      <c r="AM488" s="173"/>
      <c r="AN488" s="173"/>
      <c r="AO488" s="173"/>
      <c r="AP488" s="173"/>
    </row>
    <row r="489" spans="6:42">
      <c r="F489" s="692"/>
      <c r="G489" s="692"/>
      <c r="H489" s="692"/>
      <c r="I489" s="692"/>
      <c r="J489" s="692"/>
      <c r="K489" s="692"/>
      <c r="L489" s="692"/>
      <c r="M489" s="692"/>
      <c r="N489" s="692"/>
      <c r="O489" s="692"/>
      <c r="P489" s="692"/>
      <c r="Q489" s="173"/>
      <c r="R489" s="173"/>
      <c r="S489" s="173"/>
      <c r="T489" s="173"/>
      <c r="U489" s="173"/>
      <c r="V489" s="173"/>
      <c r="W489" s="173"/>
      <c r="X489" s="173"/>
      <c r="Y489" s="173"/>
      <c r="Z489" s="173"/>
      <c r="AA489" s="173"/>
      <c r="AB489" s="173"/>
      <c r="AC489" s="173"/>
      <c r="AD489" s="173"/>
      <c r="AE489" s="173"/>
      <c r="AF489" s="173"/>
      <c r="AG489" s="173"/>
      <c r="AH489" s="173"/>
      <c r="AI489" s="173"/>
      <c r="AJ489" s="173"/>
      <c r="AK489" s="173"/>
      <c r="AL489" s="173"/>
      <c r="AM489" s="173"/>
      <c r="AN489" s="173"/>
      <c r="AO489" s="173"/>
      <c r="AP489" s="173"/>
    </row>
    <row r="490" spans="6:42">
      <c r="F490" s="692"/>
      <c r="G490" s="692"/>
      <c r="H490" s="692"/>
      <c r="I490" s="692"/>
      <c r="J490" s="692"/>
      <c r="K490" s="692"/>
      <c r="L490" s="692"/>
      <c r="M490" s="692"/>
      <c r="N490" s="692"/>
      <c r="O490" s="692"/>
      <c r="P490" s="692"/>
      <c r="Q490" s="173"/>
      <c r="R490" s="173"/>
      <c r="S490" s="173"/>
      <c r="T490" s="173"/>
      <c r="U490" s="173"/>
      <c r="V490" s="173"/>
      <c r="W490" s="173"/>
      <c r="X490" s="173"/>
      <c r="Y490" s="173"/>
      <c r="Z490" s="173"/>
      <c r="AA490" s="173"/>
      <c r="AB490" s="173"/>
      <c r="AC490" s="173"/>
      <c r="AD490" s="173"/>
      <c r="AE490" s="173"/>
      <c r="AF490" s="173"/>
      <c r="AG490" s="173"/>
      <c r="AH490" s="173"/>
      <c r="AI490" s="173"/>
      <c r="AJ490" s="173"/>
      <c r="AK490" s="173"/>
      <c r="AL490" s="173"/>
      <c r="AM490" s="173"/>
      <c r="AN490" s="173"/>
      <c r="AO490" s="173"/>
      <c r="AP490" s="173"/>
    </row>
    <row r="491" spans="6:42">
      <c r="F491" s="692"/>
      <c r="G491" s="692"/>
      <c r="H491" s="692"/>
      <c r="I491" s="692"/>
      <c r="J491" s="692"/>
      <c r="K491" s="692"/>
      <c r="L491" s="692"/>
      <c r="M491" s="692"/>
      <c r="N491" s="692"/>
      <c r="O491" s="692"/>
      <c r="P491" s="692"/>
      <c r="Q491" s="173"/>
      <c r="R491" s="173"/>
      <c r="S491" s="173"/>
      <c r="T491" s="173"/>
      <c r="U491" s="173"/>
      <c r="V491" s="173"/>
      <c r="W491" s="173"/>
      <c r="X491" s="173"/>
      <c r="Y491" s="173"/>
      <c r="Z491" s="173"/>
      <c r="AA491" s="173"/>
      <c r="AB491" s="173"/>
      <c r="AC491" s="173"/>
      <c r="AD491" s="173"/>
      <c r="AE491" s="173"/>
      <c r="AF491" s="173"/>
      <c r="AG491" s="173"/>
      <c r="AH491" s="173"/>
      <c r="AI491" s="173"/>
      <c r="AJ491" s="173"/>
      <c r="AK491" s="173"/>
      <c r="AL491" s="173"/>
      <c r="AM491" s="173"/>
      <c r="AN491" s="173"/>
      <c r="AO491" s="173"/>
      <c r="AP491" s="173"/>
    </row>
    <row r="492" spans="6:42">
      <c r="F492" s="692"/>
      <c r="G492" s="692"/>
      <c r="H492" s="692"/>
      <c r="I492" s="692"/>
      <c r="J492" s="692"/>
      <c r="K492" s="692"/>
      <c r="L492" s="692"/>
      <c r="M492" s="692"/>
      <c r="N492" s="692"/>
      <c r="O492" s="692"/>
      <c r="P492" s="692"/>
      <c r="Q492" s="173"/>
      <c r="R492" s="173"/>
      <c r="S492" s="173"/>
      <c r="T492" s="173"/>
      <c r="U492" s="173"/>
      <c r="V492" s="173"/>
      <c r="W492" s="173"/>
      <c r="X492" s="173"/>
      <c r="Y492" s="173"/>
      <c r="Z492" s="173"/>
      <c r="AA492" s="173"/>
      <c r="AB492" s="173"/>
      <c r="AC492" s="173"/>
      <c r="AD492" s="173"/>
      <c r="AE492" s="173"/>
      <c r="AF492" s="173"/>
      <c r="AG492" s="173"/>
      <c r="AH492" s="173"/>
      <c r="AI492" s="173"/>
      <c r="AJ492" s="173"/>
      <c r="AK492" s="173"/>
      <c r="AL492" s="173"/>
      <c r="AM492" s="173"/>
      <c r="AN492" s="173"/>
      <c r="AO492" s="173"/>
      <c r="AP492" s="173"/>
    </row>
    <row r="493" spans="6:42">
      <c r="F493" s="692"/>
      <c r="G493" s="692"/>
      <c r="H493" s="692"/>
      <c r="I493" s="692"/>
      <c r="J493" s="692"/>
      <c r="K493" s="692"/>
      <c r="L493" s="692"/>
      <c r="M493" s="692"/>
      <c r="N493" s="692"/>
      <c r="O493" s="692"/>
      <c r="P493" s="692"/>
      <c r="Q493" s="173"/>
      <c r="R493" s="173"/>
      <c r="S493" s="173"/>
      <c r="T493" s="173"/>
      <c r="U493" s="173"/>
      <c r="V493" s="173"/>
      <c r="W493" s="173"/>
      <c r="X493" s="173"/>
      <c r="Y493" s="173"/>
      <c r="Z493" s="173"/>
      <c r="AA493" s="173"/>
      <c r="AB493" s="173"/>
      <c r="AC493" s="173"/>
      <c r="AD493" s="173"/>
      <c r="AE493" s="173"/>
      <c r="AF493" s="173"/>
      <c r="AG493" s="173"/>
      <c r="AH493" s="173"/>
      <c r="AI493" s="173"/>
      <c r="AJ493" s="173"/>
      <c r="AK493" s="173"/>
      <c r="AL493" s="173"/>
      <c r="AM493" s="173"/>
      <c r="AN493" s="173"/>
      <c r="AO493" s="173"/>
      <c r="AP493" s="173"/>
    </row>
    <row r="494" spans="6:42">
      <c r="F494" s="692"/>
      <c r="G494" s="692"/>
      <c r="H494" s="692"/>
      <c r="I494" s="692"/>
      <c r="J494" s="692"/>
      <c r="K494" s="692"/>
      <c r="L494" s="692"/>
      <c r="M494" s="692"/>
      <c r="N494" s="692"/>
      <c r="O494" s="692"/>
      <c r="P494" s="692"/>
      <c r="Q494" s="173"/>
      <c r="R494" s="173"/>
      <c r="S494" s="173"/>
      <c r="T494" s="173"/>
      <c r="U494" s="173"/>
      <c r="V494" s="173"/>
      <c r="W494" s="173"/>
      <c r="X494" s="173"/>
      <c r="Y494" s="173"/>
      <c r="Z494" s="173"/>
      <c r="AA494" s="173"/>
      <c r="AB494" s="173"/>
      <c r="AC494" s="173"/>
      <c r="AD494" s="173"/>
      <c r="AE494" s="173"/>
      <c r="AF494" s="173"/>
      <c r="AG494" s="173"/>
      <c r="AH494" s="173"/>
      <c r="AI494" s="173"/>
      <c r="AJ494" s="173"/>
      <c r="AK494" s="173"/>
      <c r="AL494" s="173"/>
      <c r="AM494" s="173"/>
      <c r="AN494" s="173"/>
      <c r="AO494" s="173"/>
      <c r="AP494" s="173"/>
    </row>
    <row r="495" spans="6:42">
      <c r="F495" s="692"/>
      <c r="G495" s="692"/>
      <c r="H495" s="692"/>
      <c r="I495" s="692"/>
      <c r="J495" s="692"/>
      <c r="K495" s="692"/>
      <c r="L495" s="692"/>
      <c r="M495" s="692"/>
      <c r="N495" s="692"/>
      <c r="O495" s="692"/>
      <c r="P495" s="692"/>
      <c r="Q495" s="173"/>
      <c r="R495" s="173"/>
      <c r="S495" s="173"/>
      <c r="T495" s="173"/>
      <c r="U495" s="173"/>
      <c r="V495" s="173"/>
      <c r="W495" s="173"/>
      <c r="X495" s="173"/>
      <c r="Y495" s="173"/>
      <c r="Z495" s="173"/>
      <c r="AA495" s="173"/>
      <c r="AB495" s="173"/>
      <c r="AC495" s="173"/>
      <c r="AD495" s="173"/>
      <c r="AE495" s="173"/>
      <c r="AF495" s="173"/>
      <c r="AG495" s="173"/>
      <c r="AH495" s="173"/>
      <c r="AI495" s="173"/>
      <c r="AJ495" s="173"/>
      <c r="AK495" s="173"/>
      <c r="AL495" s="173"/>
      <c r="AM495" s="173"/>
      <c r="AN495" s="173"/>
      <c r="AO495" s="173"/>
      <c r="AP495" s="173"/>
    </row>
    <row r="496" spans="6:42">
      <c r="F496" s="692"/>
      <c r="G496" s="692"/>
      <c r="H496" s="692"/>
      <c r="I496" s="692"/>
      <c r="J496" s="692"/>
      <c r="K496" s="692"/>
      <c r="L496" s="692"/>
      <c r="M496" s="692"/>
      <c r="N496" s="692"/>
      <c r="O496" s="692"/>
      <c r="P496" s="692"/>
      <c r="Q496" s="173"/>
      <c r="R496" s="173"/>
      <c r="S496" s="173"/>
      <c r="T496" s="173"/>
      <c r="U496" s="173"/>
      <c r="V496" s="173"/>
      <c r="W496" s="173"/>
      <c r="X496" s="173"/>
      <c r="Y496" s="173"/>
      <c r="Z496" s="173"/>
      <c r="AA496" s="173"/>
      <c r="AB496" s="173"/>
      <c r="AC496" s="173"/>
      <c r="AD496" s="173"/>
      <c r="AE496" s="173"/>
      <c r="AF496" s="173"/>
      <c r="AG496" s="173"/>
      <c r="AH496" s="173"/>
      <c r="AI496" s="173"/>
      <c r="AJ496" s="173"/>
      <c r="AK496" s="173"/>
      <c r="AL496" s="173"/>
      <c r="AM496" s="173"/>
      <c r="AN496" s="173"/>
      <c r="AO496" s="173"/>
      <c r="AP496" s="173"/>
    </row>
    <row r="497" spans="6:42">
      <c r="F497" s="692"/>
      <c r="G497" s="692"/>
      <c r="H497" s="692"/>
      <c r="I497" s="692"/>
      <c r="J497" s="692"/>
      <c r="K497" s="692"/>
      <c r="L497" s="692"/>
      <c r="M497" s="692"/>
      <c r="N497" s="692"/>
      <c r="O497" s="692"/>
      <c r="P497" s="692"/>
      <c r="Q497" s="173"/>
      <c r="R497" s="173"/>
      <c r="S497" s="173"/>
      <c r="T497" s="173"/>
      <c r="U497" s="173"/>
      <c r="V497" s="173"/>
      <c r="W497" s="173"/>
      <c r="X497" s="173"/>
      <c r="Y497" s="173"/>
      <c r="Z497" s="173"/>
      <c r="AA497" s="173"/>
      <c r="AB497" s="173"/>
      <c r="AC497" s="173"/>
      <c r="AD497" s="173"/>
      <c r="AE497" s="173"/>
      <c r="AF497" s="173"/>
      <c r="AG497" s="173"/>
      <c r="AH497" s="173"/>
      <c r="AI497" s="173"/>
      <c r="AJ497" s="173"/>
      <c r="AK497" s="173"/>
      <c r="AL497" s="173"/>
      <c r="AM497" s="173"/>
      <c r="AN497" s="173"/>
      <c r="AO497" s="173"/>
      <c r="AP497" s="173"/>
    </row>
    <row r="498" spans="6:42">
      <c r="F498" s="692"/>
      <c r="G498" s="692"/>
      <c r="H498" s="692"/>
      <c r="I498" s="692"/>
      <c r="J498" s="692"/>
      <c r="K498" s="692"/>
      <c r="L498" s="692"/>
      <c r="M498" s="692"/>
      <c r="N498" s="692"/>
      <c r="O498" s="692"/>
      <c r="P498" s="692"/>
      <c r="Q498" s="173"/>
      <c r="R498" s="173"/>
      <c r="S498" s="173"/>
      <c r="T498" s="173"/>
      <c r="U498" s="173"/>
      <c r="V498" s="173"/>
      <c r="W498" s="173"/>
      <c r="X498" s="173"/>
      <c r="Y498" s="173"/>
      <c r="Z498" s="173"/>
      <c r="AA498" s="173"/>
      <c r="AB498" s="173"/>
      <c r="AC498" s="173"/>
      <c r="AD498" s="173"/>
      <c r="AE498" s="173"/>
      <c r="AF498" s="173"/>
      <c r="AG498" s="173"/>
      <c r="AH498" s="173"/>
      <c r="AI498" s="173"/>
      <c r="AJ498" s="173"/>
      <c r="AK498" s="173"/>
      <c r="AL498" s="173"/>
      <c r="AM498" s="173"/>
      <c r="AN498" s="173"/>
      <c r="AO498" s="173"/>
      <c r="AP498" s="173"/>
    </row>
    <row r="499" spans="6:42">
      <c r="F499" s="692"/>
      <c r="G499" s="692"/>
      <c r="H499" s="692"/>
      <c r="I499" s="692"/>
      <c r="J499" s="692"/>
      <c r="K499" s="692"/>
      <c r="L499" s="692"/>
      <c r="M499" s="692"/>
      <c r="N499" s="692"/>
      <c r="O499" s="692"/>
      <c r="P499" s="692"/>
      <c r="Q499" s="173"/>
      <c r="R499" s="173"/>
      <c r="S499" s="173"/>
      <c r="T499" s="173"/>
      <c r="U499" s="173"/>
      <c r="V499" s="173"/>
      <c r="W499" s="173"/>
      <c r="X499" s="173"/>
      <c r="Y499" s="173"/>
      <c r="Z499" s="173"/>
      <c r="AA499" s="173"/>
      <c r="AB499" s="173"/>
      <c r="AC499" s="173"/>
      <c r="AD499" s="173"/>
      <c r="AE499" s="173"/>
      <c r="AF499" s="173"/>
      <c r="AG499" s="173"/>
      <c r="AH499" s="173"/>
      <c r="AI499" s="173"/>
      <c r="AJ499" s="173"/>
      <c r="AK499" s="173"/>
      <c r="AL499" s="173"/>
      <c r="AM499" s="173"/>
      <c r="AN499" s="173"/>
      <c r="AO499" s="173"/>
      <c r="AP499" s="173"/>
    </row>
    <row r="500" spans="6:42">
      <c r="F500" s="692"/>
      <c r="G500" s="692"/>
      <c r="H500" s="692"/>
      <c r="I500" s="692"/>
      <c r="J500" s="692"/>
      <c r="K500" s="692"/>
      <c r="L500" s="692"/>
      <c r="M500" s="692"/>
      <c r="N500" s="692"/>
      <c r="O500" s="692"/>
      <c r="P500" s="692"/>
      <c r="Q500" s="173"/>
      <c r="R500" s="173"/>
      <c r="S500" s="173"/>
      <c r="T500" s="173"/>
      <c r="U500" s="173"/>
      <c r="V500" s="173"/>
      <c r="W500" s="173"/>
      <c r="X500" s="173"/>
      <c r="Y500" s="173"/>
      <c r="Z500" s="173"/>
      <c r="AA500" s="173"/>
      <c r="AB500" s="173"/>
      <c r="AC500" s="173"/>
      <c r="AD500" s="173"/>
      <c r="AE500" s="173"/>
      <c r="AF500" s="173"/>
      <c r="AG500" s="173"/>
      <c r="AH500" s="173"/>
      <c r="AI500" s="173"/>
      <c r="AJ500" s="173"/>
      <c r="AK500" s="173"/>
      <c r="AL500" s="173"/>
      <c r="AM500" s="173"/>
      <c r="AN500" s="173"/>
      <c r="AO500" s="173"/>
      <c r="AP500" s="173"/>
    </row>
    <row r="501" spans="6:42">
      <c r="F501" s="692"/>
      <c r="G501" s="692"/>
      <c r="H501" s="692"/>
      <c r="I501" s="692"/>
      <c r="J501" s="692"/>
      <c r="K501" s="692"/>
      <c r="L501" s="692"/>
      <c r="M501" s="692"/>
      <c r="N501" s="692"/>
      <c r="O501" s="692"/>
      <c r="P501" s="692"/>
      <c r="Q501" s="173"/>
      <c r="R501" s="173"/>
      <c r="S501" s="173"/>
      <c r="T501" s="173"/>
      <c r="U501" s="173"/>
      <c r="V501" s="173"/>
      <c r="W501" s="173"/>
      <c r="X501" s="173"/>
      <c r="Y501" s="173"/>
      <c r="Z501" s="173"/>
      <c r="AA501" s="173"/>
      <c r="AB501" s="173"/>
      <c r="AC501" s="173"/>
      <c r="AD501" s="173"/>
      <c r="AE501" s="173"/>
      <c r="AF501" s="173"/>
      <c r="AG501" s="173"/>
      <c r="AH501" s="173"/>
      <c r="AI501" s="173"/>
      <c r="AJ501" s="173"/>
      <c r="AK501" s="173"/>
      <c r="AL501" s="173"/>
      <c r="AM501" s="173"/>
      <c r="AN501" s="173"/>
      <c r="AO501" s="173"/>
      <c r="AP501" s="173"/>
    </row>
    <row r="502" spans="6:42">
      <c r="F502" s="692"/>
      <c r="G502" s="692"/>
      <c r="H502" s="692"/>
      <c r="I502" s="692"/>
      <c r="J502" s="692"/>
      <c r="K502" s="692"/>
      <c r="L502" s="692"/>
      <c r="M502" s="692"/>
      <c r="N502" s="692"/>
      <c r="O502" s="692"/>
      <c r="P502" s="692"/>
      <c r="Q502" s="173"/>
      <c r="R502" s="173"/>
      <c r="S502" s="173"/>
      <c r="T502" s="173"/>
      <c r="U502" s="173"/>
      <c r="V502" s="173"/>
      <c r="W502" s="173"/>
      <c r="X502" s="173"/>
      <c r="Y502" s="173"/>
      <c r="Z502" s="173"/>
      <c r="AA502" s="173"/>
      <c r="AB502" s="173"/>
      <c r="AC502" s="173"/>
      <c r="AD502" s="173"/>
      <c r="AE502" s="173"/>
      <c r="AF502" s="173"/>
      <c r="AG502" s="173"/>
      <c r="AH502" s="173"/>
      <c r="AI502" s="173"/>
      <c r="AJ502" s="173"/>
      <c r="AK502" s="173"/>
      <c r="AL502" s="173"/>
      <c r="AM502" s="173"/>
      <c r="AN502" s="173"/>
      <c r="AO502" s="173"/>
      <c r="AP502" s="173"/>
    </row>
    <row r="503" spans="6:42">
      <c r="F503" s="692"/>
      <c r="G503" s="692"/>
      <c r="H503" s="692"/>
      <c r="I503" s="692"/>
      <c r="J503" s="692"/>
      <c r="K503" s="692"/>
      <c r="L503" s="692"/>
      <c r="M503" s="692"/>
      <c r="N503" s="692"/>
      <c r="O503" s="692"/>
      <c r="P503" s="692"/>
      <c r="Q503" s="173"/>
      <c r="R503" s="173"/>
      <c r="S503" s="173"/>
      <c r="T503" s="173"/>
      <c r="U503" s="173"/>
      <c r="V503" s="173"/>
      <c r="W503" s="173"/>
      <c r="X503" s="173"/>
      <c r="Y503" s="173"/>
      <c r="Z503" s="173"/>
      <c r="AA503" s="173"/>
      <c r="AB503" s="173"/>
      <c r="AC503" s="173"/>
      <c r="AD503" s="173"/>
      <c r="AE503" s="173"/>
      <c r="AF503" s="173"/>
      <c r="AG503" s="173"/>
      <c r="AH503" s="173"/>
      <c r="AI503" s="173"/>
      <c r="AJ503" s="173"/>
      <c r="AK503" s="173"/>
      <c r="AL503" s="173"/>
      <c r="AM503" s="173"/>
      <c r="AN503" s="173"/>
      <c r="AO503" s="173"/>
      <c r="AP503" s="173"/>
    </row>
    <row r="504" spans="6:42">
      <c r="F504" s="692"/>
      <c r="G504" s="692"/>
      <c r="H504" s="692"/>
      <c r="I504" s="692"/>
      <c r="J504" s="692"/>
      <c r="K504" s="692"/>
      <c r="L504" s="692"/>
      <c r="M504" s="692"/>
      <c r="N504" s="692"/>
      <c r="O504" s="692"/>
      <c r="P504" s="692"/>
      <c r="Q504" s="173"/>
      <c r="R504" s="173"/>
      <c r="S504" s="173"/>
      <c r="T504" s="173"/>
      <c r="U504" s="173"/>
      <c r="V504" s="173"/>
      <c r="W504" s="173"/>
      <c r="X504" s="173"/>
      <c r="Y504" s="173"/>
      <c r="Z504" s="173"/>
      <c r="AA504" s="173"/>
      <c r="AB504" s="173"/>
      <c r="AC504" s="173"/>
      <c r="AD504" s="173"/>
      <c r="AE504" s="173"/>
      <c r="AF504" s="173"/>
      <c r="AG504" s="173"/>
      <c r="AH504" s="173"/>
      <c r="AI504" s="173"/>
      <c r="AJ504" s="173"/>
      <c r="AK504" s="173"/>
      <c r="AL504" s="173"/>
      <c r="AM504" s="173"/>
      <c r="AN504" s="173"/>
      <c r="AO504" s="173"/>
      <c r="AP504" s="173"/>
    </row>
    <row r="505" spans="6:42">
      <c r="F505" s="692"/>
      <c r="G505" s="692"/>
      <c r="H505" s="692"/>
      <c r="I505" s="692"/>
      <c r="J505" s="692"/>
      <c r="K505" s="692"/>
      <c r="L505" s="692"/>
      <c r="M505" s="692"/>
      <c r="N505" s="692"/>
      <c r="O505" s="692"/>
      <c r="P505" s="692"/>
      <c r="Q505" s="173"/>
      <c r="R505" s="173"/>
      <c r="S505" s="173"/>
      <c r="T505" s="173"/>
      <c r="U505" s="173"/>
      <c r="V505" s="173"/>
      <c r="W505" s="173"/>
      <c r="X505" s="173"/>
      <c r="Y505" s="173"/>
      <c r="Z505" s="173"/>
      <c r="AA505" s="173"/>
      <c r="AB505" s="173"/>
      <c r="AC505" s="173"/>
      <c r="AD505" s="173"/>
      <c r="AE505" s="173"/>
      <c r="AF505" s="173"/>
      <c r="AG505" s="173"/>
      <c r="AH505" s="173"/>
      <c r="AI505" s="173"/>
      <c r="AJ505" s="173"/>
      <c r="AK505" s="173"/>
      <c r="AL505" s="173"/>
      <c r="AM505" s="173"/>
      <c r="AN505" s="173"/>
      <c r="AO505" s="173"/>
      <c r="AP505" s="173"/>
    </row>
    <row r="506" spans="6:42">
      <c r="F506" s="692"/>
      <c r="G506" s="692"/>
      <c r="H506" s="692"/>
      <c r="I506" s="692"/>
      <c r="J506" s="692"/>
      <c r="K506" s="692"/>
      <c r="L506" s="692"/>
      <c r="M506" s="692"/>
      <c r="N506" s="692"/>
      <c r="O506" s="692"/>
      <c r="P506" s="692"/>
      <c r="Q506" s="173"/>
      <c r="R506" s="173"/>
      <c r="S506" s="173"/>
      <c r="T506" s="173"/>
      <c r="U506" s="173"/>
      <c r="V506" s="173"/>
      <c r="W506" s="173"/>
      <c r="X506" s="173"/>
      <c r="Y506" s="173"/>
      <c r="Z506" s="173"/>
      <c r="AA506" s="173"/>
      <c r="AB506" s="173"/>
      <c r="AC506" s="173"/>
      <c r="AD506" s="173"/>
      <c r="AE506" s="173"/>
      <c r="AF506" s="173"/>
      <c r="AG506" s="173"/>
      <c r="AH506" s="173"/>
      <c r="AI506" s="173"/>
      <c r="AJ506" s="173"/>
      <c r="AK506" s="173"/>
      <c r="AL506" s="173"/>
      <c r="AM506" s="173"/>
      <c r="AN506" s="173"/>
      <c r="AO506" s="173"/>
      <c r="AP506" s="173"/>
    </row>
    <row r="507" spans="6:42">
      <c r="F507" s="692"/>
      <c r="G507" s="692"/>
      <c r="H507" s="692"/>
      <c r="I507" s="692"/>
      <c r="J507" s="692"/>
      <c r="K507" s="692"/>
      <c r="L507" s="692"/>
      <c r="M507" s="692"/>
      <c r="N507" s="692"/>
      <c r="O507" s="692"/>
      <c r="P507" s="692"/>
      <c r="Q507" s="173"/>
      <c r="R507" s="173"/>
      <c r="S507" s="173"/>
      <c r="T507" s="173"/>
      <c r="U507" s="173"/>
      <c r="V507" s="173"/>
      <c r="W507" s="173"/>
      <c r="X507" s="173"/>
      <c r="Y507" s="173"/>
      <c r="Z507" s="173"/>
      <c r="AA507" s="173"/>
      <c r="AB507" s="173"/>
      <c r="AC507" s="173"/>
      <c r="AD507" s="173"/>
      <c r="AE507" s="173"/>
      <c r="AF507" s="173"/>
      <c r="AG507" s="173"/>
      <c r="AH507" s="173"/>
      <c r="AI507" s="173"/>
      <c r="AJ507" s="173"/>
      <c r="AK507" s="173"/>
      <c r="AL507" s="173"/>
      <c r="AM507" s="173"/>
      <c r="AN507" s="173"/>
      <c r="AO507" s="173"/>
      <c r="AP507" s="173"/>
    </row>
    <row r="508" spans="6:42">
      <c r="F508" s="692"/>
      <c r="G508" s="692"/>
      <c r="H508" s="692"/>
      <c r="I508" s="692"/>
      <c r="J508" s="692"/>
      <c r="K508" s="692"/>
      <c r="L508" s="692"/>
      <c r="M508" s="692"/>
      <c r="N508" s="692"/>
      <c r="O508" s="692"/>
      <c r="P508" s="692"/>
      <c r="Q508" s="173"/>
      <c r="R508" s="173"/>
      <c r="S508" s="173"/>
      <c r="T508" s="173"/>
      <c r="U508" s="173"/>
      <c r="V508" s="173"/>
      <c r="W508" s="173"/>
      <c r="X508" s="173"/>
      <c r="Y508" s="173"/>
      <c r="Z508" s="173"/>
      <c r="AA508" s="173"/>
      <c r="AB508" s="173"/>
      <c r="AC508" s="173"/>
      <c r="AD508" s="173"/>
      <c r="AE508" s="173"/>
      <c r="AF508" s="173"/>
      <c r="AG508" s="173"/>
      <c r="AH508" s="173"/>
      <c r="AI508" s="173"/>
      <c r="AJ508" s="173"/>
      <c r="AK508" s="173"/>
      <c r="AL508" s="173"/>
      <c r="AM508" s="173"/>
      <c r="AN508" s="173"/>
      <c r="AO508" s="173"/>
      <c r="AP508" s="173"/>
    </row>
    <row r="509" spans="6:42">
      <c r="F509" s="692"/>
      <c r="G509" s="692"/>
      <c r="H509" s="692"/>
      <c r="I509" s="692"/>
      <c r="J509" s="692"/>
      <c r="K509" s="692"/>
      <c r="L509" s="692"/>
      <c r="M509" s="692"/>
      <c r="N509" s="692"/>
      <c r="O509" s="692"/>
      <c r="P509" s="692"/>
      <c r="Q509" s="173"/>
      <c r="R509" s="173"/>
      <c r="S509" s="173"/>
      <c r="T509" s="173"/>
      <c r="U509" s="173"/>
      <c r="V509" s="173"/>
      <c r="W509" s="173"/>
      <c r="X509" s="173"/>
      <c r="Y509" s="173"/>
      <c r="Z509" s="173"/>
      <c r="AA509" s="173"/>
      <c r="AB509" s="173"/>
      <c r="AC509" s="173"/>
      <c r="AD509" s="173"/>
      <c r="AE509" s="173"/>
      <c r="AF509" s="173"/>
      <c r="AG509" s="173"/>
      <c r="AH509" s="173"/>
      <c r="AI509" s="173"/>
      <c r="AJ509" s="173"/>
      <c r="AK509" s="173"/>
      <c r="AL509" s="173"/>
      <c r="AM509" s="173"/>
      <c r="AN509" s="173"/>
      <c r="AO509" s="173"/>
      <c r="AP509" s="173"/>
    </row>
    <row r="510" spans="6:42">
      <c r="F510" s="692"/>
      <c r="G510" s="692"/>
      <c r="H510" s="692"/>
      <c r="I510" s="692"/>
      <c r="J510" s="692"/>
      <c r="K510" s="692"/>
      <c r="L510" s="692"/>
      <c r="M510" s="692"/>
      <c r="N510" s="692"/>
      <c r="O510" s="692"/>
      <c r="P510" s="692"/>
      <c r="Q510" s="173"/>
      <c r="R510" s="173"/>
      <c r="S510" s="173"/>
      <c r="T510" s="173"/>
      <c r="U510" s="173"/>
      <c r="V510" s="173"/>
      <c r="W510" s="173"/>
      <c r="X510" s="173"/>
      <c r="Y510" s="173"/>
      <c r="Z510" s="173"/>
      <c r="AA510" s="173"/>
      <c r="AB510" s="173"/>
      <c r="AC510" s="173"/>
      <c r="AD510" s="173"/>
      <c r="AE510" s="173"/>
      <c r="AF510" s="173"/>
      <c r="AG510" s="173"/>
      <c r="AH510" s="173"/>
      <c r="AI510" s="173"/>
      <c r="AJ510" s="173"/>
      <c r="AK510" s="173"/>
      <c r="AL510" s="173"/>
      <c r="AM510" s="173"/>
      <c r="AN510" s="173"/>
      <c r="AO510" s="173"/>
      <c r="AP510" s="173"/>
    </row>
    <row r="511" spans="6:42">
      <c r="F511" s="692"/>
      <c r="G511" s="692"/>
      <c r="H511" s="692"/>
      <c r="I511" s="692"/>
      <c r="J511" s="692"/>
      <c r="K511" s="692"/>
      <c r="L511" s="692"/>
      <c r="M511" s="692"/>
      <c r="N511" s="692"/>
      <c r="O511" s="692"/>
      <c r="P511" s="692"/>
      <c r="Q511" s="173"/>
      <c r="R511" s="173"/>
      <c r="S511" s="173"/>
      <c r="T511" s="173"/>
      <c r="U511" s="173"/>
      <c r="V511" s="173"/>
      <c r="W511" s="173"/>
      <c r="X511" s="173"/>
      <c r="Y511" s="173"/>
      <c r="Z511" s="173"/>
      <c r="AA511" s="173"/>
      <c r="AB511" s="173"/>
      <c r="AC511" s="173"/>
      <c r="AD511" s="173"/>
      <c r="AE511" s="173"/>
      <c r="AF511" s="173"/>
      <c r="AG511" s="173"/>
      <c r="AH511" s="173"/>
      <c r="AI511" s="173"/>
      <c r="AJ511" s="173"/>
      <c r="AK511" s="173"/>
      <c r="AL511" s="173"/>
      <c r="AM511" s="173"/>
      <c r="AN511" s="173"/>
      <c r="AO511" s="173"/>
      <c r="AP511" s="173"/>
    </row>
    <row r="512" spans="6:42">
      <c r="F512" s="692"/>
      <c r="G512" s="692"/>
      <c r="H512" s="692"/>
      <c r="I512" s="692"/>
      <c r="J512" s="692"/>
      <c r="K512" s="692"/>
      <c r="L512" s="692"/>
      <c r="M512" s="692"/>
      <c r="N512" s="692"/>
      <c r="O512" s="692"/>
      <c r="P512" s="692"/>
      <c r="Q512" s="173"/>
      <c r="R512" s="173"/>
      <c r="S512" s="173"/>
      <c r="T512" s="173"/>
      <c r="U512" s="173"/>
      <c r="V512" s="173"/>
      <c r="W512" s="173"/>
      <c r="X512" s="173"/>
      <c r="Y512" s="173"/>
      <c r="Z512" s="173"/>
      <c r="AA512" s="173"/>
      <c r="AB512" s="173"/>
      <c r="AC512" s="173"/>
      <c r="AD512" s="173"/>
      <c r="AE512" s="173"/>
      <c r="AF512" s="173"/>
      <c r="AG512" s="173"/>
      <c r="AH512" s="173"/>
      <c r="AI512" s="173"/>
      <c r="AJ512" s="173"/>
      <c r="AK512" s="173"/>
      <c r="AL512" s="173"/>
      <c r="AM512" s="173"/>
      <c r="AN512" s="173"/>
      <c r="AO512" s="173"/>
      <c r="AP512" s="173"/>
    </row>
    <row r="513" spans="6:42">
      <c r="F513" s="692"/>
      <c r="G513" s="692"/>
      <c r="H513" s="692"/>
      <c r="I513" s="692"/>
      <c r="J513" s="692"/>
      <c r="K513" s="692"/>
      <c r="L513" s="692"/>
      <c r="M513" s="692"/>
      <c r="N513" s="692"/>
      <c r="O513" s="692"/>
      <c r="P513" s="692"/>
      <c r="Q513" s="173"/>
      <c r="R513" s="173"/>
      <c r="S513" s="173"/>
      <c r="T513" s="173"/>
      <c r="U513" s="173"/>
      <c r="V513" s="173"/>
      <c r="W513" s="173"/>
      <c r="X513" s="173"/>
      <c r="Y513" s="173"/>
      <c r="Z513" s="173"/>
      <c r="AA513" s="173"/>
      <c r="AB513" s="173"/>
      <c r="AC513" s="173"/>
      <c r="AD513" s="173"/>
      <c r="AE513" s="173"/>
      <c r="AF513" s="173"/>
      <c r="AG513" s="173"/>
      <c r="AH513" s="173"/>
      <c r="AI513" s="173"/>
      <c r="AJ513" s="173"/>
      <c r="AK513" s="173"/>
      <c r="AL513" s="173"/>
      <c r="AM513" s="173"/>
      <c r="AN513" s="173"/>
      <c r="AO513" s="173"/>
      <c r="AP513" s="173"/>
    </row>
    <row r="514" spans="6:42">
      <c r="F514" s="692"/>
      <c r="G514" s="692"/>
      <c r="H514" s="692"/>
      <c r="I514" s="692"/>
      <c r="J514" s="692"/>
      <c r="K514" s="692"/>
      <c r="L514" s="692"/>
      <c r="M514" s="692"/>
      <c r="N514" s="692"/>
      <c r="O514" s="692"/>
      <c r="P514" s="692"/>
      <c r="Q514" s="173"/>
      <c r="R514" s="173"/>
      <c r="S514" s="173"/>
      <c r="T514" s="173"/>
      <c r="U514" s="173"/>
      <c r="V514" s="173"/>
      <c r="W514" s="173"/>
      <c r="X514" s="173"/>
      <c r="Y514" s="173"/>
      <c r="Z514" s="173"/>
      <c r="AA514" s="173"/>
      <c r="AB514" s="173"/>
      <c r="AC514" s="173"/>
      <c r="AD514" s="173"/>
      <c r="AE514" s="173"/>
      <c r="AF514" s="173"/>
      <c r="AG514" s="173"/>
      <c r="AH514" s="173"/>
      <c r="AI514" s="173"/>
      <c r="AJ514" s="173"/>
      <c r="AK514" s="173"/>
      <c r="AL514" s="173"/>
      <c r="AM514" s="173"/>
      <c r="AN514" s="173"/>
      <c r="AO514" s="173"/>
      <c r="AP514" s="173"/>
    </row>
    <row r="515" spans="6:42">
      <c r="F515" s="692"/>
      <c r="G515" s="692"/>
      <c r="H515" s="692"/>
      <c r="I515" s="692"/>
      <c r="J515" s="692"/>
      <c r="K515" s="692"/>
      <c r="L515" s="692"/>
      <c r="M515" s="692"/>
      <c r="N515" s="692"/>
      <c r="O515" s="692"/>
      <c r="P515" s="692"/>
      <c r="Q515" s="173"/>
      <c r="R515" s="173"/>
      <c r="S515" s="173"/>
      <c r="T515" s="173"/>
      <c r="U515" s="173"/>
      <c r="V515" s="173"/>
      <c r="W515" s="173"/>
      <c r="X515" s="173"/>
      <c r="Y515" s="173"/>
      <c r="Z515" s="173"/>
      <c r="AA515" s="173"/>
      <c r="AB515" s="173"/>
      <c r="AC515" s="173"/>
      <c r="AD515" s="173"/>
      <c r="AE515" s="173"/>
      <c r="AF515" s="173"/>
      <c r="AG515" s="173"/>
      <c r="AH515" s="173"/>
      <c r="AI515" s="173"/>
      <c r="AJ515" s="173"/>
      <c r="AK515" s="173"/>
      <c r="AL515" s="173"/>
      <c r="AM515" s="173"/>
      <c r="AN515" s="173"/>
      <c r="AO515" s="173"/>
      <c r="AP515" s="173"/>
    </row>
    <row r="516" spans="6:42">
      <c r="F516" s="692"/>
      <c r="G516" s="692"/>
      <c r="H516" s="692"/>
      <c r="I516" s="692"/>
      <c r="J516" s="692"/>
      <c r="K516" s="692"/>
      <c r="L516" s="692"/>
      <c r="M516" s="692"/>
      <c r="N516" s="692"/>
      <c r="O516" s="692"/>
      <c r="P516" s="692"/>
      <c r="Q516" s="173"/>
      <c r="R516" s="173"/>
      <c r="S516" s="173"/>
      <c r="T516" s="173"/>
      <c r="U516" s="173"/>
      <c r="V516" s="173"/>
      <c r="W516" s="173"/>
      <c r="X516" s="173"/>
      <c r="Y516" s="173"/>
      <c r="Z516" s="173"/>
      <c r="AA516" s="173"/>
      <c r="AB516" s="173"/>
      <c r="AC516" s="173"/>
      <c r="AD516" s="173"/>
      <c r="AE516" s="173"/>
      <c r="AF516" s="173"/>
      <c r="AG516" s="173"/>
      <c r="AH516" s="173"/>
      <c r="AI516" s="173"/>
      <c r="AJ516" s="173"/>
      <c r="AK516" s="173"/>
      <c r="AL516" s="173"/>
      <c r="AM516" s="173"/>
      <c r="AN516" s="173"/>
      <c r="AO516" s="173"/>
      <c r="AP516" s="173"/>
    </row>
    <row r="517" spans="6:42" ht="12.75" customHeight="1">
      <c r="F517" s="692"/>
      <c r="G517" s="692"/>
      <c r="H517" s="692"/>
      <c r="I517" s="692"/>
      <c r="J517" s="692"/>
      <c r="K517" s="692"/>
      <c r="L517" s="692"/>
      <c r="M517" s="692"/>
      <c r="N517" s="692"/>
      <c r="O517" s="692"/>
      <c r="P517" s="692"/>
      <c r="Q517" s="173"/>
      <c r="R517" s="173"/>
      <c r="S517" s="173"/>
      <c r="T517" s="173"/>
      <c r="U517" s="173"/>
      <c r="V517" s="173"/>
      <c r="W517" s="173"/>
      <c r="X517" s="173"/>
      <c r="Y517" s="173"/>
      <c r="Z517" s="173"/>
      <c r="AA517" s="173"/>
      <c r="AB517" s="173"/>
      <c r="AC517" s="173"/>
      <c r="AD517" s="173"/>
      <c r="AE517" s="173"/>
      <c r="AF517" s="173"/>
      <c r="AG517" s="173"/>
      <c r="AH517" s="173"/>
      <c r="AI517" s="173"/>
      <c r="AJ517" s="173"/>
      <c r="AK517" s="173"/>
      <c r="AL517" s="173"/>
      <c r="AM517" s="173"/>
      <c r="AN517" s="173"/>
      <c r="AO517" s="173"/>
      <c r="AP517" s="173"/>
    </row>
    <row r="518" spans="6:42" ht="12.75" customHeight="1">
      <c r="F518" s="692"/>
      <c r="G518" s="692"/>
      <c r="H518" s="692"/>
      <c r="I518" s="692"/>
      <c r="J518" s="692"/>
      <c r="K518" s="692"/>
      <c r="L518" s="692"/>
      <c r="M518" s="692"/>
      <c r="N518" s="692"/>
      <c r="O518" s="692"/>
      <c r="P518" s="692"/>
      <c r="Q518" s="173"/>
      <c r="R518" s="173"/>
      <c r="S518" s="173"/>
      <c r="T518" s="173"/>
      <c r="U518" s="173"/>
      <c r="V518" s="173"/>
      <c r="W518" s="173"/>
      <c r="X518" s="173"/>
      <c r="Y518" s="173"/>
      <c r="Z518" s="173"/>
      <c r="AA518" s="173"/>
      <c r="AB518" s="173"/>
      <c r="AC518" s="173"/>
      <c r="AD518" s="173"/>
      <c r="AE518" s="173"/>
      <c r="AF518" s="173"/>
      <c r="AG518" s="173"/>
      <c r="AH518" s="173"/>
      <c r="AI518" s="173"/>
      <c r="AJ518" s="173"/>
      <c r="AK518" s="173"/>
      <c r="AL518" s="173"/>
      <c r="AM518" s="173"/>
      <c r="AN518" s="173"/>
      <c r="AO518" s="173"/>
      <c r="AP518" s="173"/>
    </row>
    <row r="519" spans="6:42" ht="12.75" customHeight="1">
      <c r="F519" s="692"/>
      <c r="G519" s="692"/>
      <c r="H519" s="692"/>
      <c r="I519" s="692"/>
      <c r="J519" s="692"/>
      <c r="K519" s="692"/>
      <c r="L519" s="692"/>
      <c r="M519" s="692"/>
      <c r="N519" s="692"/>
      <c r="O519" s="692"/>
      <c r="P519" s="692"/>
      <c r="Q519" s="173"/>
      <c r="R519" s="173"/>
      <c r="S519" s="173"/>
      <c r="T519" s="173"/>
      <c r="U519" s="173"/>
      <c r="V519" s="173"/>
      <c r="W519" s="173"/>
      <c r="X519" s="173"/>
      <c r="Y519" s="173"/>
      <c r="Z519" s="173"/>
      <c r="AA519" s="173"/>
      <c r="AB519" s="173"/>
      <c r="AC519" s="173"/>
      <c r="AD519" s="173"/>
      <c r="AE519" s="173"/>
      <c r="AF519" s="173"/>
      <c r="AG519" s="173"/>
      <c r="AH519" s="173"/>
      <c r="AI519" s="173"/>
      <c r="AJ519" s="173"/>
      <c r="AK519" s="173"/>
      <c r="AL519" s="173"/>
      <c r="AM519" s="173"/>
      <c r="AN519" s="173"/>
      <c r="AO519" s="173"/>
      <c r="AP519" s="173"/>
    </row>
    <row r="520" spans="6:42">
      <c r="F520" s="692"/>
      <c r="G520" s="692"/>
      <c r="H520" s="692"/>
      <c r="I520" s="692"/>
      <c r="J520" s="692"/>
      <c r="K520" s="692"/>
      <c r="L520" s="692"/>
      <c r="M520" s="692"/>
      <c r="N520" s="692"/>
      <c r="O520" s="692"/>
      <c r="P520" s="692"/>
      <c r="Q520" s="173"/>
      <c r="R520" s="173"/>
      <c r="S520" s="173"/>
      <c r="T520" s="173"/>
      <c r="U520" s="173"/>
      <c r="V520" s="173"/>
      <c r="W520" s="173"/>
      <c r="X520" s="173"/>
      <c r="Y520" s="173"/>
      <c r="Z520" s="173"/>
      <c r="AA520" s="173"/>
      <c r="AB520" s="173"/>
      <c r="AC520" s="173"/>
      <c r="AD520" s="173"/>
      <c r="AE520" s="173"/>
      <c r="AF520" s="173"/>
      <c r="AG520" s="173"/>
      <c r="AH520" s="173"/>
      <c r="AI520" s="173"/>
      <c r="AJ520" s="173"/>
      <c r="AK520" s="173"/>
      <c r="AL520" s="173"/>
      <c r="AM520" s="173"/>
      <c r="AN520" s="173"/>
      <c r="AO520" s="173"/>
      <c r="AP520" s="173"/>
    </row>
    <row r="521" spans="6:42">
      <c r="F521" s="692"/>
      <c r="G521" s="692"/>
      <c r="H521" s="692"/>
      <c r="I521" s="692"/>
      <c r="J521" s="692"/>
      <c r="K521" s="692"/>
      <c r="L521" s="692"/>
      <c r="M521" s="692"/>
      <c r="N521" s="692"/>
      <c r="O521" s="692"/>
      <c r="P521" s="692"/>
      <c r="Q521" s="173"/>
      <c r="R521" s="173"/>
      <c r="S521" s="173"/>
      <c r="T521" s="173"/>
      <c r="U521" s="173"/>
      <c r="V521" s="173"/>
      <c r="W521" s="173"/>
      <c r="X521" s="173"/>
      <c r="Y521" s="173"/>
      <c r="Z521" s="173"/>
      <c r="AA521" s="173"/>
      <c r="AB521" s="173"/>
      <c r="AC521" s="173"/>
      <c r="AD521" s="173"/>
      <c r="AE521" s="173"/>
      <c r="AF521" s="173"/>
      <c r="AG521" s="173"/>
      <c r="AH521" s="173"/>
      <c r="AI521" s="173"/>
      <c r="AJ521" s="173"/>
      <c r="AK521" s="173"/>
      <c r="AL521" s="173"/>
      <c r="AM521" s="173"/>
      <c r="AN521" s="173"/>
      <c r="AO521" s="173"/>
      <c r="AP521" s="173"/>
    </row>
    <row r="522" spans="6:42">
      <c r="F522" s="692"/>
      <c r="G522" s="692"/>
      <c r="H522" s="692"/>
      <c r="I522" s="692"/>
      <c r="J522" s="692"/>
      <c r="K522" s="692"/>
      <c r="L522" s="692"/>
      <c r="M522" s="692"/>
      <c r="N522" s="692"/>
      <c r="O522" s="692"/>
      <c r="P522" s="692"/>
      <c r="Q522" s="173"/>
      <c r="R522" s="173"/>
      <c r="S522" s="173"/>
      <c r="T522" s="173"/>
      <c r="U522" s="173"/>
      <c r="V522" s="173"/>
      <c r="W522" s="173"/>
      <c r="X522" s="173"/>
      <c r="Y522" s="173"/>
      <c r="Z522" s="173"/>
      <c r="AA522" s="173"/>
      <c r="AB522" s="173"/>
      <c r="AC522" s="173"/>
      <c r="AD522" s="173"/>
      <c r="AE522" s="173"/>
      <c r="AF522" s="173"/>
      <c r="AG522" s="173"/>
      <c r="AH522" s="173"/>
      <c r="AI522" s="173"/>
      <c r="AJ522" s="173"/>
      <c r="AK522" s="173"/>
      <c r="AL522" s="173"/>
      <c r="AM522" s="173"/>
      <c r="AN522" s="173"/>
      <c r="AO522" s="173"/>
      <c r="AP522" s="173"/>
    </row>
    <row r="523" spans="6:42">
      <c r="F523" s="692"/>
      <c r="G523" s="692"/>
      <c r="H523" s="692"/>
      <c r="I523" s="692"/>
      <c r="J523" s="692"/>
      <c r="K523" s="692"/>
      <c r="L523" s="692"/>
      <c r="M523" s="692"/>
      <c r="N523" s="692"/>
      <c r="O523" s="692"/>
      <c r="P523" s="692"/>
      <c r="Q523" s="173"/>
      <c r="R523" s="173"/>
      <c r="S523" s="173"/>
      <c r="T523" s="173"/>
      <c r="U523" s="173"/>
      <c r="V523" s="173"/>
      <c r="W523" s="173"/>
      <c r="X523" s="173"/>
      <c r="Y523" s="173"/>
      <c r="Z523" s="173"/>
      <c r="AA523" s="173"/>
      <c r="AB523" s="173"/>
      <c r="AC523" s="173"/>
      <c r="AD523" s="173"/>
      <c r="AE523" s="173"/>
      <c r="AF523" s="173"/>
      <c r="AG523" s="173"/>
      <c r="AH523" s="173"/>
      <c r="AI523" s="173"/>
      <c r="AJ523" s="173"/>
      <c r="AK523" s="173"/>
      <c r="AL523" s="173"/>
      <c r="AM523" s="173"/>
      <c r="AN523" s="173"/>
      <c r="AO523" s="173"/>
      <c r="AP523" s="173"/>
    </row>
    <row r="524" spans="6:42">
      <c r="F524" s="692"/>
      <c r="G524" s="692"/>
      <c r="H524" s="692"/>
      <c r="I524" s="692"/>
      <c r="J524" s="692"/>
      <c r="K524" s="692"/>
      <c r="L524" s="692"/>
      <c r="M524" s="692"/>
      <c r="N524" s="692"/>
      <c r="O524" s="692"/>
      <c r="P524" s="692"/>
      <c r="Q524" s="173"/>
      <c r="R524" s="173"/>
      <c r="S524" s="173"/>
      <c r="T524" s="173"/>
      <c r="U524" s="173"/>
      <c r="V524" s="173"/>
      <c r="W524" s="173"/>
      <c r="X524" s="173"/>
      <c r="Y524" s="173"/>
      <c r="Z524" s="173"/>
      <c r="AA524" s="173"/>
      <c r="AB524" s="173"/>
      <c r="AC524" s="173"/>
      <c r="AD524" s="173"/>
      <c r="AE524" s="173"/>
      <c r="AF524" s="173"/>
      <c r="AG524" s="173"/>
      <c r="AH524" s="173"/>
      <c r="AI524" s="173"/>
      <c r="AJ524" s="173"/>
      <c r="AK524" s="173"/>
      <c r="AL524" s="173"/>
      <c r="AM524" s="173"/>
      <c r="AN524" s="173"/>
      <c r="AO524" s="173"/>
      <c r="AP524" s="173"/>
    </row>
    <row r="525" spans="6:42">
      <c r="F525" s="692"/>
      <c r="G525" s="692"/>
      <c r="H525" s="692"/>
      <c r="I525" s="692"/>
      <c r="J525" s="692"/>
      <c r="K525" s="692"/>
      <c r="L525" s="692"/>
      <c r="M525" s="692"/>
      <c r="N525" s="692"/>
      <c r="O525" s="692"/>
      <c r="P525" s="692"/>
      <c r="Q525" s="173"/>
      <c r="R525" s="173"/>
      <c r="S525" s="173"/>
      <c r="T525" s="173"/>
      <c r="U525" s="173"/>
      <c r="V525" s="173"/>
      <c r="W525" s="173"/>
      <c r="X525" s="173"/>
      <c r="Y525" s="173"/>
      <c r="Z525" s="173"/>
      <c r="AA525" s="173"/>
      <c r="AB525" s="173"/>
      <c r="AC525" s="173"/>
      <c r="AD525" s="173"/>
      <c r="AE525" s="173"/>
      <c r="AF525" s="173"/>
      <c r="AG525" s="173"/>
      <c r="AH525" s="173"/>
      <c r="AI525" s="173"/>
      <c r="AJ525" s="173"/>
      <c r="AK525" s="173"/>
      <c r="AL525" s="173"/>
      <c r="AM525" s="173"/>
      <c r="AN525" s="173"/>
      <c r="AO525" s="173"/>
      <c r="AP525" s="173"/>
    </row>
    <row r="526" spans="6:42">
      <c r="F526" s="692"/>
      <c r="G526" s="692"/>
      <c r="H526" s="692"/>
      <c r="I526" s="692"/>
      <c r="J526" s="692"/>
      <c r="K526" s="692"/>
      <c r="L526" s="692"/>
      <c r="M526" s="692"/>
      <c r="N526" s="692"/>
      <c r="O526" s="692"/>
      <c r="P526" s="692"/>
      <c r="Q526" s="173"/>
      <c r="R526" s="173"/>
      <c r="S526" s="173"/>
      <c r="T526" s="173"/>
      <c r="U526" s="173"/>
      <c r="V526" s="173"/>
      <c r="W526" s="173"/>
      <c r="X526" s="173"/>
      <c r="Y526" s="173"/>
      <c r="Z526" s="173"/>
      <c r="AA526" s="173"/>
      <c r="AB526" s="173"/>
      <c r="AC526" s="173"/>
      <c r="AD526" s="173"/>
      <c r="AE526" s="173"/>
      <c r="AF526" s="173"/>
      <c r="AG526" s="173"/>
      <c r="AH526" s="173"/>
      <c r="AI526" s="173"/>
      <c r="AJ526" s="173"/>
      <c r="AK526" s="173"/>
      <c r="AL526" s="173"/>
      <c r="AM526" s="173"/>
      <c r="AN526" s="173"/>
      <c r="AO526" s="173"/>
      <c r="AP526" s="173"/>
    </row>
    <row r="527" spans="6:42">
      <c r="F527" s="692"/>
      <c r="G527" s="692"/>
      <c r="H527" s="692"/>
      <c r="I527" s="692"/>
      <c r="J527" s="692"/>
      <c r="K527" s="692"/>
      <c r="L527" s="692"/>
      <c r="M527" s="692"/>
      <c r="N527" s="692"/>
      <c r="O527" s="692"/>
      <c r="P527" s="692"/>
      <c r="Q527" s="173"/>
      <c r="R527" s="173"/>
      <c r="S527" s="173"/>
      <c r="T527" s="173"/>
      <c r="U527" s="173"/>
      <c r="V527" s="173"/>
      <c r="W527" s="173"/>
      <c r="X527" s="173"/>
      <c r="Y527" s="173"/>
      <c r="Z527" s="173"/>
      <c r="AA527" s="173"/>
      <c r="AB527" s="173"/>
      <c r="AC527" s="173"/>
      <c r="AD527" s="173"/>
      <c r="AE527" s="173"/>
      <c r="AF527" s="173"/>
      <c r="AG527" s="173"/>
      <c r="AH527" s="173"/>
      <c r="AI527" s="173"/>
      <c r="AJ527" s="173"/>
      <c r="AK527" s="173"/>
      <c r="AL527" s="173"/>
      <c r="AM527" s="173"/>
      <c r="AN527" s="173"/>
      <c r="AO527" s="173"/>
      <c r="AP527" s="173"/>
    </row>
    <row r="528" spans="6:42">
      <c r="F528" s="692"/>
      <c r="G528" s="692"/>
      <c r="H528" s="692"/>
      <c r="I528" s="692"/>
      <c r="J528" s="692"/>
      <c r="K528" s="692"/>
      <c r="L528" s="692"/>
      <c r="M528" s="692"/>
      <c r="N528" s="692"/>
      <c r="O528" s="692"/>
      <c r="P528" s="692"/>
      <c r="Q528" s="173"/>
      <c r="R528" s="173"/>
      <c r="S528" s="173"/>
      <c r="T528" s="173"/>
      <c r="U528" s="173"/>
      <c r="V528" s="173"/>
      <c r="W528" s="173"/>
      <c r="X528" s="173"/>
      <c r="Y528" s="173"/>
      <c r="Z528" s="173"/>
      <c r="AA528" s="173"/>
      <c r="AB528" s="173"/>
      <c r="AC528" s="173"/>
      <c r="AD528" s="173"/>
      <c r="AE528" s="173"/>
      <c r="AF528" s="173"/>
      <c r="AG528" s="173"/>
      <c r="AH528" s="173"/>
      <c r="AI528" s="173"/>
      <c r="AJ528" s="173"/>
      <c r="AK528" s="173"/>
      <c r="AL528" s="173"/>
      <c r="AM528" s="173"/>
      <c r="AN528" s="173"/>
      <c r="AO528" s="173"/>
      <c r="AP528" s="173"/>
    </row>
    <row r="529" spans="6:42">
      <c r="F529" s="692"/>
      <c r="G529" s="692"/>
      <c r="H529" s="692"/>
      <c r="I529" s="692"/>
      <c r="J529" s="692"/>
      <c r="K529" s="692"/>
      <c r="L529" s="692"/>
      <c r="M529" s="692"/>
      <c r="N529" s="692"/>
      <c r="O529" s="692"/>
      <c r="P529" s="692"/>
      <c r="Q529" s="173"/>
      <c r="R529" s="173"/>
      <c r="S529" s="173"/>
      <c r="T529" s="173"/>
      <c r="U529" s="173"/>
      <c r="V529" s="173"/>
      <c r="W529" s="173"/>
      <c r="X529" s="173"/>
      <c r="Y529" s="173"/>
      <c r="Z529" s="173"/>
      <c r="AA529" s="173"/>
      <c r="AB529" s="173"/>
      <c r="AC529" s="173"/>
      <c r="AD529" s="173"/>
      <c r="AE529" s="173"/>
      <c r="AF529" s="173"/>
      <c r="AG529" s="173"/>
      <c r="AH529" s="173"/>
      <c r="AI529" s="173"/>
      <c r="AJ529" s="173"/>
      <c r="AK529" s="173"/>
      <c r="AL529" s="173"/>
      <c r="AM529" s="173"/>
      <c r="AN529" s="173"/>
      <c r="AO529" s="173"/>
      <c r="AP529" s="173"/>
    </row>
    <row r="530" spans="6:42">
      <c r="F530" s="692"/>
      <c r="G530" s="692"/>
      <c r="H530" s="692"/>
      <c r="I530" s="692"/>
      <c r="J530" s="692"/>
      <c r="K530" s="692"/>
      <c r="L530" s="692"/>
      <c r="M530" s="692"/>
      <c r="N530" s="692"/>
      <c r="O530" s="692"/>
      <c r="P530" s="692"/>
      <c r="Q530" s="173"/>
      <c r="R530" s="173"/>
      <c r="S530" s="173"/>
      <c r="T530" s="173"/>
      <c r="U530" s="173"/>
      <c r="V530" s="173"/>
      <c r="W530" s="173"/>
      <c r="X530" s="173"/>
      <c r="Y530" s="173"/>
      <c r="Z530" s="173"/>
      <c r="AA530" s="173"/>
      <c r="AB530" s="173"/>
      <c r="AC530" s="173"/>
      <c r="AD530" s="173"/>
      <c r="AE530" s="173"/>
      <c r="AF530" s="173"/>
      <c r="AG530" s="173"/>
      <c r="AH530" s="173"/>
      <c r="AI530" s="173"/>
      <c r="AJ530" s="173"/>
      <c r="AK530" s="173"/>
      <c r="AL530" s="173"/>
      <c r="AM530" s="173"/>
      <c r="AN530" s="173"/>
      <c r="AO530" s="173"/>
      <c r="AP530" s="173"/>
    </row>
    <row r="531" spans="6:42">
      <c r="F531" s="692"/>
      <c r="G531" s="692"/>
      <c r="H531" s="692"/>
      <c r="I531" s="692"/>
      <c r="J531" s="692"/>
      <c r="K531" s="692"/>
      <c r="L531" s="692"/>
      <c r="M531" s="692"/>
      <c r="N531" s="692"/>
      <c r="O531" s="692"/>
      <c r="P531" s="692"/>
      <c r="Q531" s="173"/>
      <c r="R531" s="173"/>
      <c r="S531" s="173"/>
      <c r="T531" s="173"/>
      <c r="U531" s="173"/>
      <c r="V531" s="173"/>
      <c r="W531" s="173"/>
      <c r="X531" s="173"/>
      <c r="Y531" s="173"/>
      <c r="Z531" s="173"/>
      <c r="AA531" s="173"/>
      <c r="AB531" s="173"/>
      <c r="AC531" s="173"/>
      <c r="AD531" s="173"/>
      <c r="AE531" s="173"/>
      <c r="AF531" s="173"/>
      <c r="AG531" s="173"/>
      <c r="AH531" s="173"/>
      <c r="AI531" s="173"/>
      <c r="AJ531" s="173"/>
      <c r="AK531" s="173"/>
      <c r="AL531" s="173"/>
      <c r="AM531" s="173"/>
      <c r="AN531" s="173"/>
      <c r="AO531" s="173"/>
      <c r="AP531" s="173"/>
    </row>
    <row r="532" spans="6:42">
      <c r="F532" s="692"/>
      <c r="G532" s="692"/>
      <c r="H532" s="692"/>
      <c r="I532" s="692"/>
      <c r="J532" s="692"/>
      <c r="K532" s="692"/>
      <c r="L532" s="692"/>
      <c r="M532" s="692"/>
      <c r="N532" s="692"/>
      <c r="O532" s="692"/>
      <c r="P532" s="692"/>
      <c r="Q532" s="173"/>
      <c r="R532" s="173"/>
      <c r="S532" s="173"/>
      <c r="T532" s="173"/>
      <c r="U532" s="173"/>
      <c r="V532" s="173"/>
      <c r="W532" s="173"/>
      <c r="X532" s="173"/>
      <c r="Y532" s="173"/>
      <c r="Z532" s="173"/>
      <c r="AA532" s="173"/>
      <c r="AB532" s="173"/>
      <c r="AC532" s="173"/>
      <c r="AD532" s="173"/>
      <c r="AE532" s="173"/>
      <c r="AF532" s="173"/>
      <c r="AG532" s="173"/>
      <c r="AH532" s="173"/>
      <c r="AI532" s="173"/>
      <c r="AJ532" s="173"/>
      <c r="AK532" s="173"/>
      <c r="AL532" s="173"/>
      <c r="AM532" s="173"/>
      <c r="AN532" s="173"/>
      <c r="AO532" s="173"/>
      <c r="AP532" s="173"/>
    </row>
    <row r="533" spans="6:42">
      <c r="F533" s="692"/>
      <c r="G533" s="692"/>
      <c r="H533" s="692"/>
      <c r="I533" s="692"/>
      <c r="J533" s="692"/>
      <c r="K533" s="692"/>
      <c r="L533" s="692"/>
      <c r="M533" s="692"/>
      <c r="N533" s="692"/>
      <c r="O533" s="692"/>
      <c r="P533" s="692"/>
      <c r="Q533" s="173"/>
      <c r="R533" s="173"/>
      <c r="S533" s="173"/>
      <c r="T533" s="173"/>
      <c r="U533" s="173"/>
      <c r="V533" s="173"/>
      <c r="W533" s="173"/>
      <c r="X533" s="173"/>
      <c r="Y533" s="173"/>
      <c r="Z533" s="173"/>
      <c r="AA533" s="173"/>
      <c r="AB533" s="173"/>
      <c r="AC533" s="173"/>
      <c r="AD533" s="173"/>
      <c r="AE533" s="173"/>
      <c r="AF533" s="173"/>
      <c r="AG533" s="173"/>
      <c r="AH533" s="173"/>
      <c r="AI533" s="173"/>
      <c r="AJ533" s="173"/>
      <c r="AK533" s="173"/>
      <c r="AL533" s="173"/>
      <c r="AM533" s="173"/>
      <c r="AN533" s="173"/>
      <c r="AO533" s="173"/>
      <c r="AP533" s="173"/>
    </row>
    <row r="534" spans="6:42">
      <c r="F534" s="692"/>
      <c r="G534" s="692"/>
      <c r="H534" s="692"/>
      <c r="I534" s="692"/>
      <c r="J534" s="692"/>
      <c r="K534" s="692"/>
      <c r="L534" s="692"/>
      <c r="M534" s="692"/>
      <c r="N534" s="692"/>
      <c r="O534" s="692"/>
      <c r="P534" s="692"/>
      <c r="Q534" s="173"/>
      <c r="R534" s="173"/>
      <c r="S534" s="173"/>
      <c r="T534" s="173"/>
      <c r="U534" s="173"/>
      <c r="V534" s="173"/>
      <c r="W534" s="173"/>
      <c r="X534" s="173"/>
      <c r="Y534" s="173"/>
      <c r="Z534" s="173"/>
      <c r="AA534" s="173"/>
      <c r="AB534" s="173"/>
      <c r="AC534" s="173"/>
      <c r="AD534" s="173"/>
      <c r="AE534" s="173"/>
      <c r="AF534" s="173"/>
      <c r="AG534" s="173"/>
      <c r="AH534" s="173"/>
      <c r="AI534" s="173"/>
      <c r="AJ534" s="173"/>
      <c r="AK534" s="173"/>
      <c r="AL534" s="173"/>
      <c r="AM534" s="173"/>
      <c r="AN534" s="173"/>
      <c r="AO534" s="173"/>
      <c r="AP534" s="173"/>
    </row>
    <row r="535" spans="6:42">
      <c r="F535" s="692"/>
      <c r="G535" s="692"/>
      <c r="H535" s="692"/>
      <c r="I535" s="692"/>
      <c r="J535" s="692"/>
      <c r="K535" s="692"/>
      <c r="L535" s="692"/>
      <c r="M535" s="692"/>
      <c r="N535" s="692"/>
      <c r="O535" s="692"/>
      <c r="P535" s="692"/>
      <c r="Q535" s="173"/>
      <c r="R535" s="173"/>
      <c r="S535" s="173"/>
      <c r="T535" s="173"/>
      <c r="U535" s="173"/>
      <c r="V535" s="173"/>
      <c r="W535" s="173"/>
      <c r="X535" s="173"/>
      <c r="Y535" s="173"/>
      <c r="Z535" s="173"/>
      <c r="AA535" s="173"/>
      <c r="AB535" s="173"/>
      <c r="AC535" s="173"/>
      <c r="AD535" s="173"/>
      <c r="AE535" s="173"/>
      <c r="AF535" s="173"/>
      <c r="AG535" s="173"/>
      <c r="AH535" s="173"/>
      <c r="AI535" s="173"/>
      <c r="AJ535" s="173"/>
      <c r="AK535" s="173"/>
      <c r="AL535" s="173"/>
      <c r="AM535" s="173"/>
      <c r="AN535" s="173"/>
      <c r="AO535" s="173"/>
      <c r="AP535" s="173"/>
    </row>
    <row r="536" spans="6:42">
      <c r="F536" s="692"/>
      <c r="G536" s="692"/>
      <c r="H536" s="692"/>
      <c r="I536" s="692"/>
      <c r="J536" s="692"/>
      <c r="K536" s="692"/>
      <c r="L536" s="692"/>
      <c r="M536" s="692"/>
      <c r="N536" s="692"/>
      <c r="O536" s="692"/>
      <c r="P536" s="692"/>
      <c r="Q536" s="173"/>
      <c r="R536" s="173"/>
      <c r="S536" s="173"/>
      <c r="T536" s="173"/>
      <c r="U536" s="173"/>
      <c r="V536" s="173"/>
      <c r="W536" s="173"/>
      <c r="X536" s="173"/>
      <c r="Y536" s="173"/>
      <c r="Z536" s="173"/>
      <c r="AA536" s="173"/>
      <c r="AB536" s="173"/>
      <c r="AC536" s="173"/>
      <c r="AD536" s="173"/>
      <c r="AE536" s="173"/>
      <c r="AF536" s="173"/>
      <c r="AG536" s="173"/>
      <c r="AH536" s="173"/>
      <c r="AI536" s="173"/>
      <c r="AJ536" s="173"/>
      <c r="AK536" s="173"/>
      <c r="AL536" s="173"/>
      <c r="AM536" s="173"/>
      <c r="AN536" s="173"/>
      <c r="AO536" s="173"/>
      <c r="AP536" s="173"/>
    </row>
    <row r="537" spans="6:42">
      <c r="F537" s="692"/>
      <c r="G537" s="692"/>
      <c r="H537" s="692"/>
      <c r="I537" s="692"/>
      <c r="J537" s="692"/>
      <c r="K537" s="692"/>
      <c r="L537" s="692"/>
      <c r="M537" s="692"/>
      <c r="N537" s="692"/>
      <c r="O537" s="692"/>
      <c r="P537" s="692"/>
      <c r="Q537" s="173"/>
      <c r="R537" s="173"/>
      <c r="S537" s="173"/>
      <c r="T537" s="173"/>
      <c r="U537" s="173"/>
      <c r="V537" s="173"/>
      <c r="W537" s="173"/>
      <c r="X537" s="173"/>
      <c r="Y537" s="173"/>
      <c r="Z537" s="173"/>
      <c r="AA537" s="173"/>
      <c r="AB537" s="173"/>
      <c r="AC537" s="173"/>
      <c r="AD537" s="173"/>
      <c r="AE537" s="173"/>
      <c r="AF537" s="173"/>
      <c r="AG537" s="173"/>
      <c r="AH537" s="173"/>
      <c r="AI537" s="173"/>
      <c r="AJ537" s="173"/>
      <c r="AK537" s="173"/>
      <c r="AL537" s="173"/>
      <c r="AM537" s="173"/>
      <c r="AN537" s="173"/>
      <c r="AO537" s="173"/>
      <c r="AP537" s="173"/>
    </row>
    <row r="538" spans="6:42">
      <c r="F538" s="692"/>
      <c r="G538" s="692"/>
      <c r="H538" s="692"/>
      <c r="I538" s="692"/>
      <c r="J538" s="692"/>
      <c r="K538" s="692"/>
      <c r="L538" s="692"/>
      <c r="M538" s="692"/>
      <c r="N538" s="692"/>
      <c r="O538" s="692"/>
      <c r="P538" s="692"/>
      <c r="Q538" s="173"/>
      <c r="R538" s="173"/>
      <c r="S538" s="173"/>
      <c r="T538" s="173"/>
      <c r="U538" s="173"/>
      <c r="V538" s="173"/>
      <c r="W538" s="173"/>
      <c r="X538" s="173"/>
      <c r="Y538" s="173"/>
      <c r="Z538" s="173"/>
      <c r="AA538" s="173"/>
      <c r="AB538" s="173"/>
      <c r="AC538" s="173"/>
      <c r="AD538" s="173"/>
      <c r="AE538" s="173"/>
      <c r="AF538" s="173"/>
      <c r="AG538" s="173"/>
      <c r="AH538" s="173"/>
      <c r="AI538" s="173"/>
      <c r="AJ538" s="173"/>
      <c r="AK538" s="173"/>
      <c r="AL538" s="173"/>
      <c r="AM538" s="173"/>
      <c r="AN538" s="173"/>
      <c r="AO538" s="173"/>
      <c r="AP538" s="173"/>
    </row>
    <row r="539" spans="6:42">
      <c r="F539" s="692"/>
      <c r="G539" s="692"/>
      <c r="H539" s="692"/>
      <c r="I539" s="692"/>
      <c r="J539" s="692"/>
      <c r="K539" s="692"/>
      <c r="L539" s="692"/>
      <c r="M539" s="692"/>
      <c r="N539" s="692"/>
      <c r="O539" s="692"/>
      <c r="P539" s="692"/>
      <c r="Q539" s="173"/>
      <c r="R539" s="173"/>
      <c r="S539" s="173"/>
      <c r="T539" s="173"/>
      <c r="U539" s="173"/>
      <c r="V539" s="173"/>
      <c r="W539" s="173"/>
      <c r="X539" s="173"/>
      <c r="Y539" s="173"/>
      <c r="Z539" s="173"/>
      <c r="AA539" s="173"/>
      <c r="AB539" s="173"/>
      <c r="AC539" s="173"/>
      <c r="AD539" s="173"/>
      <c r="AE539" s="173"/>
      <c r="AF539" s="173"/>
      <c r="AG539" s="173"/>
      <c r="AH539" s="173"/>
      <c r="AI539" s="173"/>
      <c r="AJ539" s="173"/>
      <c r="AK539" s="173"/>
      <c r="AL539" s="173"/>
      <c r="AM539" s="173"/>
      <c r="AN539" s="173"/>
      <c r="AO539" s="173"/>
      <c r="AP539" s="173"/>
    </row>
    <row r="540" spans="6:42">
      <c r="F540" s="692"/>
      <c r="G540" s="692"/>
      <c r="H540" s="692"/>
      <c r="I540" s="692"/>
      <c r="J540" s="692"/>
      <c r="K540" s="692"/>
      <c r="L540" s="692"/>
      <c r="M540" s="692"/>
      <c r="N540" s="692"/>
      <c r="O540" s="692"/>
      <c r="P540" s="692"/>
      <c r="Q540" s="173"/>
      <c r="R540" s="173"/>
      <c r="S540" s="173"/>
      <c r="T540" s="173"/>
      <c r="U540" s="173"/>
      <c r="V540" s="173"/>
      <c r="W540" s="173"/>
      <c r="X540" s="173"/>
      <c r="Y540" s="173"/>
      <c r="Z540" s="173"/>
      <c r="AA540" s="173"/>
      <c r="AB540" s="173"/>
      <c r="AC540" s="173"/>
      <c r="AD540" s="173"/>
      <c r="AE540" s="173"/>
      <c r="AF540" s="173"/>
      <c r="AG540" s="173"/>
      <c r="AH540" s="173"/>
      <c r="AI540" s="173"/>
      <c r="AJ540" s="173"/>
      <c r="AK540" s="173"/>
      <c r="AL540" s="173"/>
      <c r="AM540" s="173"/>
      <c r="AN540" s="173"/>
      <c r="AO540" s="173"/>
      <c r="AP540" s="173"/>
    </row>
    <row r="541" spans="6:42">
      <c r="F541" s="692"/>
      <c r="G541" s="692"/>
      <c r="H541" s="692"/>
      <c r="I541" s="692"/>
      <c r="J541" s="692"/>
      <c r="K541" s="692"/>
      <c r="L541" s="692"/>
      <c r="M541" s="692"/>
      <c r="N541" s="692"/>
      <c r="O541" s="692"/>
      <c r="P541" s="692"/>
      <c r="Q541" s="173"/>
      <c r="R541" s="173"/>
      <c r="S541" s="173"/>
      <c r="T541" s="173"/>
      <c r="U541" s="173"/>
      <c r="V541" s="173"/>
      <c r="W541" s="173"/>
      <c r="X541" s="173"/>
      <c r="Y541" s="173"/>
      <c r="Z541" s="173"/>
      <c r="AA541" s="173"/>
      <c r="AB541" s="173"/>
      <c r="AC541" s="173"/>
      <c r="AD541" s="173"/>
      <c r="AE541" s="173"/>
      <c r="AF541" s="173"/>
      <c r="AG541" s="173"/>
      <c r="AH541" s="173"/>
      <c r="AI541" s="173"/>
      <c r="AJ541" s="173"/>
      <c r="AK541" s="173"/>
      <c r="AL541" s="173"/>
      <c r="AM541" s="173"/>
      <c r="AN541" s="173"/>
      <c r="AO541" s="173"/>
      <c r="AP541" s="173"/>
    </row>
    <row r="542" spans="6:42">
      <c r="F542" s="692"/>
      <c r="G542" s="692"/>
      <c r="H542" s="692"/>
      <c r="I542" s="692"/>
      <c r="J542" s="692"/>
      <c r="K542" s="692"/>
      <c r="L542" s="692"/>
      <c r="M542" s="692"/>
      <c r="N542" s="692"/>
      <c r="O542" s="692"/>
      <c r="P542" s="692"/>
      <c r="Q542" s="173"/>
      <c r="R542" s="173"/>
      <c r="S542" s="173"/>
      <c r="T542" s="173"/>
      <c r="U542" s="173"/>
      <c r="V542" s="173"/>
      <c r="W542" s="173"/>
      <c r="X542" s="173"/>
      <c r="Y542" s="173"/>
      <c r="Z542" s="173"/>
      <c r="AA542" s="173"/>
      <c r="AB542" s="173"/>
      <c r="AC542" s="173"/>
      <c r="AD542" s="173"/>
      <c r="AE542" s="173"/>
      <c r="AF542" s="173"/>
      <c r="AG542" s="173"/>
      <c r="AH542" s="173"/>
      <c r="AI542" s="173"/>
      <c r="AJ542" s="173"/>
      <c r="AK542" s="173"/>
      <c r="AL542" s="173"/>
      <c r="AM542" s="173"/>
      <c r="AN542" s="173"/>
      <c r="AO542" s="173"/>
      <c r="AP542" s="173"/>
    </row>
    <row r="543" spans="6:42">
      <c r="F543" s="692"/>
      <c r="G543" s="692"/>
      <c r="H543" s="692"/>
      <c r="I543" s="692"/>
      <c r="J543" s="692"/>
      <c r="K543" s="692"/>
      <c r="L543" s="692"/>
      <c r="M543" s="692"/>
      <c r="N543" s="692"/>
      <c r="O543" s="692"/>
      <c r="P543" s="692"/>
      <c r="Q543" s="173"/>
      <c r="R543" s="173"/>
      <c r="S543" s="173"/>
      <c r="T543" s="173"/>
      <c r="U543" s="173"/>
      <c r="V543" s="173"/>
      <c r="W543" s="173"/>
      <c r="X543" s="173"/>
      <c r="Y543" s="173"/>
      <c r="Z543" s="173"/>
      <c r="AA543" s="173"/>
      <c r="AB543" s="173"/>
      <c r="AC543" s="173"/>
      <c r="AD543" s="173"/>
      <c r="AE543" s="173"/>
      <c r="AF543" s="173"/>
      <c r="AG543" s="173"/>
      <c r="AH543" s="173"/>
      <c r="AI543" s="173"/>
      <c r="AJ543" s="173"/>
      <c r="AK543" s="173"/>
      <c r="AL543" s="173"/>
      <c r="AM543" s="173"/>
      <c r="AN543" s="173"/>
      <c r="AO543" s="173"/>
      <c r="AP543" s="173"/>
    </row>
    <row r="544" spans="6:42">
      <c r="F544" s="692"/>
      <c r="G544" s="692"/>
      <c r="H544" s="692"/>
      <c r="I544" s="692"/>
      <c r="J544" s="692"/>
      <c r="K544" s="692"/>
      <c r="L544" s="692"/>
      <c r="M544" s="692"/>
      <c r="N544" s="692"/>
      <c r="O544" s="692"/>
      <c r="P544" s="692"/>
      <c r="Q544" s="173"/>
      <c r="R544" s="173"/>
      <c r="S544" s="173"/>
      <c r="T544" s="173"/>
      <c r="U544" s="173"/>
      <c r="V544" s="173"/>
      <c r="W544" s="173"/>
      <c r="X544" s="173"/>
      <c r="Y544" s="173"/>
      <c r="Z544" s="173"/>
      <c r="AA544" s="173"/>
      <c r="AB544" s="173"/>
      <c r="AC544" s="173"/>
      <c r="AD544" s="173"/>
      <c r="AE544" s="173"/>
      <c r="AF544" s="173"/>
      <c r="AG544" s="173"/>
      <c r="AH544" s="173"/>
      <c r="AI544" s="173"/>
      <c r="AJ544" s="173"/>
      <c r="AK544" s="173"/>
      <c r="AL544" s="173"/>
      <c r="AM544" s="173"/>
      <c r="AN544" s="173"/>
      <c r="AO544" s="173"/>
      <c r="AP544" s="173"/>
    </row>
    <row r="545" spans="6:42">
      <c r="F545" s="692"/>
      <c r="G545" s="692"/>
      <c r="H545" s="692"/>
      <c r="I545" s="692"/>
      <c r="J545" s="692"/>
      <c r="K545" s="692"/>
      <c r="L545" s="692"/>
      <c r="M545" s="692"/>
      <c r="N545" s="692"/>
      <c r="O545" s="692"/>
      <c r="P545" s="692"/>
      <c r="Q545" s="173"/>
      <c r="R545" s="173"/>
      <c r="S545" s="173"/>
      <c r="T545" s="173"/>
      <c r="U545" s="173"/>
      <c r="V545" s="173"/>
      <c r="W545" s="173"/>
      <c r="X545" s="173"/>
      <c r="Y545" s="173"/>
      <c r="Z545" s="173"/>
      <c r="AA545" s="173"/>
      <c r="AB545" s="173"/>
      <c r="AC545" s="173"/>
      <c r="AD545" s="173"/>
      <c r="AE545" s="173"/>
      <c r="AF545" s="173"/>
      <c r="AG545" s="173"/>
      <c r="AH545" s="173"/>
      <c r="AI545" s="173"/>
      <c r="AJ545" s="173"/>
      <c r="AK545" s="173"/>
      <c r="AL545" s="173"/>
      <c r="AM545" s="173"/>
      <c r="AN545" s="173"/>
      <c r="AO545" s="173"/>
      <c r="AP545" s="173"/>
    </row>
    <row r="546" spans="6:42">
      <c r="F546" s="692"/>
      <c r="G546" s="692"/>
      <c r="H546" s="692"/>
      <c r="I546" s="692"/>
      <c r="J546" s="692"/>
      <c r="K546" s="692"/>
      <c r="L546" s="692"/>
      <c r="M546" s="692"/>
      <c r="N546" s="692"/>
      <c r="O546" s="692"/>
      <c r="P546" s="692"/>
      <c r="Q546" s="173"/>
      <c r="R546" s="173"/>
      <c r="S546" s="173"/>
      <c r="T546" s="173"/>
      <c r="U546" s="173"/>
      <c r="V546" s="173"/>
      <c r="W546" s="173"/>
      <c r="X546" s="173"/>
      <c r="Y546" s="173"/>
      <c r="Z546" s="173"/>
      <c r="AA546" s="173"/>
      <c r="AB546" s="173"/>
      <c r="AC546" s="173"/>
      <c r="AD546" s="173"/>
      <c r="AE546" s="173"/>
      <c r="AF546" s="173"/>
      <c r="AG546" s="173"/>
      <c r="AH546" s="173"/>
      <c r="AI546" s="173"/>
      <c r="AJ546" s="173"/>
      <c r="AK546" s="173"/>
      <c r="AL546" s="173"/>
      <c r="AM546" s="173"/>
      <c r="AN546" s="173"/>
      <c r="AO546" s="173"/>
      <c r="AP546" s="173"/>
    </row>
    <row r="547" spans="6:42">
      <c r="F547" s="692"/>
      <c r="G547" s="692"/>
      <c r="H547" s="692"/>
      <c r="I547" s="692"/>
      <c r="J547" s="692"/>
      <c r="K547" s="692"/>
      <c r="L547" s="692"/>
      <c r="M547" s="692"/>
      <c r="N547" s="692"/>
      <c r="O547" s="692"/>
      <c r="P547" s="692"/>
      <c r="Q547" s="173"/>
      <c r="R547" s="173"/>
      <c r="S547" s="173"/>
      <c r="T547" s="173"/>
      <c r="U547" s="173"/>
      <c r="V547" s="173"/>
      <c r="W547" s="173"/>
      <c r="X547" s="173"/>
      <c r="Y547" s="173"/>
      <c r="Z547" s="173"/>
      <c r="AA547" s="173"/>
      <c r="AB547" s="173"/>
      <c r="AC547" s="173"/>
      <c r="AD547" s="173"/>
      <c r="AE547" s="173"/>
      <c r="AF547" s="173"/>
      <c r="AG547" s="173"/>
      <c r="AH547" s="173"/>
      <c r="AI547" s="173"/>
      <c r="AJ547" s="173"/>
      <c r="AK547" s="173"/>
      <c r="AL547" s="173"/>
      <c r="AM547" s="173"/>
      <c r="AN547" s="173"/>
      <c r="AO547" s="173"/>
      <c r="AP547" s="173"/>
    </row>
    <row r="548" spans="6:42">
      <c r="F548" s="692"/>
      <c r="G548" s="692"/>
      <c r="H548" s="692"/>
      <c r="I548" s="692"/>
      <c r="J548" s="692"/>
      <c r="K548" s="692"/>
      <c r="L548" s="692"/>
      <c r="M548" s="692"/>
      <c r="N548" s="692"/>
      <c r="O548" s="692"/>
      <c r="P548" s="692"/>
      <c r="Q548" s="173"/>
      <c r="R548" s="173"/>
      <c r="S548" s="173"/>
      <c r="T548" s="173"/>
      <c r="U548" s="173"/>
      <c r="V548" s="173"/>
      <c r="W548" s="173"/>
      <c r="X548" s="173"/>
      <c r="Y548" s="173"/>
      <c r="Z548" s="173"/>
      <c r="AA548" s="173"/>
      <c r="AB548" s="173"/>
      <c r="AC548" s="173"/>
      <c r="AD548" s="173"/>
      <c r="AE548" s="173"/>
      <c r="AF548" s="173"/>
      <c r="AG548" s="173"/>
      <c r="AH548" s="173"/>
      <c r="AI548" s="173"/>
      <c r="AJ548" s="173"/>
      <c r="AK548" s="173"/>
      <c r="AL548" s="173"/>
      <c r="AM548" s="173"/>
      <c r="AN548" s="173"/>
      <c r="AO548" s="173"/>
      <c r="AP548" s="173"/>
    </row>
    <row r="549" spans="6:42">
      <c r="F549" s="692"/>
      <c r="G549" s="692"/>
      <c r="H549" s="692"/>
      <c r="I549" s="692"/>
      <c r="J549" s="692"/>
      <c r="K549" s="692"/>
      <c r="L549" s="692"/>
      <c r="M549" s="692"/>
      <c r="N549" s="692"/>
      <c r="O549" s="692"/>
      <c r="P549" s="692"/>
      <c r="Q549" s="173"/>
      <c r="R549" s="173"/>
      <c r="S549" s="173"/>
      <c r="T549" s="173"/>
      <c r="U549" s="173"/>
      <c r="V549" s="173"/>
      <c r="W549" s="173"/>
      <c r="X549" s="173"/>
      <c r="Y549" s="173"/>
      <c r="Z549" s="173"/>
      <c r="AA549" s="173"/>
      <c r="AB549" s="173"/>
      <c r="AC549" s="173"/>
      <c r="AD549" s="173"/>
      <c r="AE549" s="173"/>
      <c r="AF549" s="173"/>
      <c r="AG549" s="173"/>
      <c r="AH549" s="173"/>
      <c r="AI549" s="173"/>
      <c r="AJ549" s="173"/>
      <c r="AK549" s="173"/>
      <c r="AL549" s="173"/>
      <c r="AM549" s="173"/>
      <c r="AN549" s="173"/>
      <c r="AO549" s="173"/>
      <c r="AP549" s="173"/>
    </row>
    <row r="550" spans="6:42">
      <c r="F550" s="692"/>
      <c r="G550" s="692"/>
      <c r="H550" s="692"/>
      <c r="I550" s="692"/>
      <c r="J550" s="692"/>
      <c r="K550" s="692"/>
      <c r="L550" s="692"/>
      <c r="M550" s="692"/>
      <c r="N550" s="692"/>
      <c r="O550" s="692"/>
      <c r="P550" s="692"/>
      <c r="Q550" s="173"/>
      <c r="R550" s="173"/>
      <c r="S550" s="173"/>
      <c r="T550" s="173"/>
      <c r="U550" s="173"/>
      <c r="V550" s="173"/>
      <c r="W550" s="173"/>
      <c r="X550" s="173"/>
      <c r="Y550" s="173"/>
      <c r="Z550" s="173"/>
      <c r="AA550" s="173"/>
      <c r="AB550" s="173"/>
      <c r="AC550" s="173"/>
      <c r="AD550" s="173"/>
      <c r="AE550" s="173"/>
      <c r="AF550" s="173"/>
      <c r="AG550" s="173"/>
      <c r="AH550" s="173"/>
      <c r="AI550" s="173"/>
      <c r="AJ550" s="173"/>
      <c r="AK550" s="173"/>
      <c r="AL550" s="173"/>
      <c r="AM550" s="173"/>
      <c r="AN550" s="173"/>
      <c r="AO550" s="173"/>
      <c r="AP550" s="173"/>
    </row>
    <row r="551" spans="6:42">
      <c r="F551" s="692"/>
      <c r="G551" s="692"/>
      <c r="H551" s="692"/>
      <c r="I551" s="692"/>
      <c r="J551" s="692"/>
      <c r="K551" s="692"/>
      <c r="L551" s="692"/>
      <c r="M551" s="692"/>
      <c r="N551" s="692"/>
      <c r="O551" s="692"/>
      <c r="P551" s="692"/>
      <c r="Q551" s="173"/>
      <c r="R551" s="173"/>
      <c r="S551" s="173"/>
      <c r="T551" s="173"/>
      <c r="U551" s="173"/>
      <c r="V551" s="173"/>
      <c r="W551" s="173"/>
      <c r="X551" s="173"/>
      <c r="Y551" s="173"/>
      <c r="Z551" s="173"/>
      <c r="AA551" s="173"/>
      <c r="AB551" s="173"/>
      <c r="AC551" s="173"/>
      <c r="AD551" s="173"/>
      <c r="AE551" s="173"/>
      <c r="AF551" s="173"/>
      <c r="AG551" s="173"/>
      <c r="AH551" s="173"/>
      <c r="AI551" s="173"/>
      <c r="AJ551" s="173"/>
      <c r="AK551" s="173"/>
      <c r="AL551" s="173"/>
      <c r="AM551" s="173"/>
      <c r="AN551" s="173"/>
      <c r="AO551" s="173"/>
      <c r="AP551" s="173"/>
    </row>
    <row r="552" spans="6:42">
      <c r="F552" s="692"/>
      <c r="G552" s="692"/>
      <c r="H552" s="692"/>
      <c r="I552" s="692"/>
      <c r="J552" s="692"/>
      <c r="K552" s="692"/>
      <c r="L552" s="692"/>
      <c r="M552" s="692"/>
      <c r="N552" s="692"/>
      <c r="O552" s="692"/>
      <c r="P552" s="692"/>
      <c r="Q552" s="173"/>
      <c r="R552" s="173"/>
      <c r="S552" s="173"/>
      <c r="T552" s="173"/>
      <c r="U552" s="173"/>
      <c r="V552" s="173"/>
      <c r="W552" s="173"/>
      <c r="X552" s="173"/>
      <c r="Y552" s="173"/>
      <c r="Z552" s="173"/>
      <c r="AA552" s="173"/>
      <c r="AB552" s="173"/>
      <c r="AC552" s="173"/>
      <c r="AD552" s="173"/>
      <c r="AE552" s="173"/>
      <c r="AF552" s="173"/>
      <c r="AG552" s="173"/>
      <c r="AH552" s="173"/>
      <c r="AI552" s="173"/>
      <c r="AJ552" s="173"/>
      <c r="AK552" s="173"/>
      <c r="AL552" s="173"/>
      <c r="AM552" s="173"/>
      <c r="AN552" s="173"/>
      <c r="AO552" s="173"/>
      <c r="AP552" s="173"/>
    </row>
    <row r="553" spans="6:42">
      <c r="F553" s="692"/>
      <c r="G553" s="692"/>
      <c r="H553" s="692"/>
      <c r="I553" s="692"/>
      <c r="J553" s="692"/>
      <c r="K553" s="692"/>
      <c r="L553" s="692"/>
      <c r="M553" s="692"/>
      <c r="N553" s="692"/>
      <c r="O553" s="692"/>
      <c r="P553" s="692"/>
      <c r="Q553" s="173"/>
      <c r="R553" s="173"/>
      <c r="S553" s="173"/>
      <c r="T553" s="173"/>
      <c r="U553" s="173"/>
      <c r="V553" s="173"/>
      <c r="W553" s="173"/>
      <c r="X553" s="173"/>
      <c r="Y553" s="173"/>
      <c r="Z553" s="173"/>
      <c r="AA553" s="173"/>
      <c r="AB553" s="173"/>
      <c r="AC553" s="173"/>
      <c r="AD553" s="173"/>
      <c r="AE553" s="173"/>
      <c r="AF553" s="173"/>
      <c r="AG553" s="173"/>
      <c r="AH553" s="173"/>
      <c r="AI553" s="173"/>
      <c r="AJ553" s="173"/>
      <c r="AK553" s="173"/>
      <c r="AL553" s="173"/>
      <c r="AM553" s="173"/>
      <c r="AN553" s="173"/>
      <c r="AO553" s="173"/>
      <c r="AP553" s="173"/>
    </row>
    <row r="554" spans="6:42">
      <c r="F554" s="692"/>
      <c r="G554" s="692"/>
      <c r="H554" s="692"/>
      <c r="I554" s="692"/>
      <c r="J554" s="692"/>
      <c r="K554" s="692"/>
      <c r="L554" s="692"/>
      <c r="M554" s="692"/>
      <c r="N554" s="692"/>
      <c r="O554" s="692"/>
      <c r="P554" s="692"/>
      <c r="Q554" s="173"/>
      <c r="R554" s="173"/>
      <c r="S554" s="173"/>
      <c r="T554" s="173"/>
      <c r="U554" s="173"/>
      <c r="V554" s="173"/>
      <c r="W554" s="173"/>
      <c r="X554" s="173"/>
      <c r="Y554" s="173"/>
      <c r="Z554" s="173"/>
      <c r="AA554" s="173"/>
      <c r="AB554" s="173"/>
      <c r="AC554" s="173"/>
      <c r="AD554" s="173"/>
      <c r="AE554" s="173"/>
      <c r="AF554" s="173"/>
      <c r="AG554" s="173"/>
      <c r="AH554" s="173"/>
      <c r="AI554" s="173"/>
      <c r="AJ554" s="173"/>
      <c r="AK554" s="173"/>
      <c r="AL554" s="173"/>
      <c r="AM554" s="173"/>
      <c r="AN554" s="173"/>
      <c r="AO554" s="173"/>
      <c r="AP554" s="173"/>
    </row>
    <row r="555" spans="6:42">
      <c r="F555" s="692"/>
      <c r="G555" s="692"/>
      <c r="H555" s="692"/>
      <c r="I555" s="692"/>
      <c r="J555" s="692"/>
      <c r="K555" s="692"/>
      <c r="L555" s="692"/>
      <c r="M555" s="692"/>
      <c r="N555" s="692"/>
      <c r="O555" s="692"/>
      <c r="P555" s="692"/>
      <c r="Q555" s="173"/>
      <c r="R555" s="173"/>
      <c r="S555" s="173"/>
      <c r="T555" s="173"/>
      <c r="U555" s="173"/>
      <c r="V555" s="173"/>
      <c r="W555" s="173"/>
      <c r="X555" s="173"/>
      <c r="Y555" s="173"/>
      <c r="Z555" s="173"/>
      <c r="AA555" s="173"/>
      <c r="AB555" s="173"/>
      <c r="AC555" s="173"/>
      <c r="AD555" s="173"/>
      <c r="AE555" s="173"/>
      <c r="AF555" s="173"/>
      <c r="AG555" s="173"/>
      <c r="AH555" s="173"/>
      <c r="AI555" s="173"/>
      <c r="AJ555" s="173"/>
      <c r="AK555" s="173"/>
      <c r="AL555" s="173"/>
      <c r="AM555" s="173"/>
      <c r="AN555" s="173"/>
      <c r="AO555" s="173"/>
      <c r="AP555" s="173"/>
    </row>
    <row r="556" spans="6:42">
      <c r="F556" s="692"/>
      <c r="G556" s="692"/>
      <c r="H556" s="692"/>
      <c r="I556" s="692"/>
      <c r="J556" s="692"/>
      <c r="K556" s="692"/>
      <c r="L556" s="692"/>
      <c r="M556" s="692"/>
      <c r="N556" s="692"/>
      <c r="O556" s="692"/>
      <c r="P556" s="692"/>
      <c r="Q556" s="173"/>
      <c r="R556" s="173"/>
      <c r="S556" s="173"/>
      <c r="T556" s="173"/>
      <c r="U556" s="173"/>
      <c r="V556" s="173"/>
      <c r="W556" s="173"/>
      <c r="X556" s="173"/>
      <c r="Y556" s="173"/>
      <c r="Z556" s="173"/>
      <c r="AA556" s="173"/>
      <c r="AB556" s="173"/>
      <c r="AC556" s="173"/>
      <c r="AD556" s="173"/>
      <c r="AE556" s="173"/>
      <c r="AF556" s="173"/>
      <c r="AG556" s="173"/>
      <c r="AH556" s="173"/>
      <c r="AI556" s="173"/>
      <c r="AJ556" s="173"/>
      <c r="AK556" s="173"/>
      <c r="AL556" s="173"/>
      <c r="AM556" s="173"/>
      <c r="AN556" s="173"/>
      <c r="AO556" s="173"/>
      <c r="AP556" s="173"/>
    </row>
    <row r="557" spans="6:42">
      <c r="F557" s="692"/>
      <c r="G557" s="692"/>
      <c r="H557" s="692"/>
      <c r="I557" s="692"/>
      <c r="J557" s="692"/>
      <c r="K557" s="692"/>
      <c r="L557" s="692"/>
      <c r="M557" s="692"/>
      <c r="N557" s="692"/>
      <c r="O557" s="692"/>
      <c r="P557" s="692"/>
      <c r="Q557" s="173"/>
      <c r="R557" s="173"/>
      <c r="S557" s="173"/>
      <c r="T557" s="173"/>
      <c r="U557" s="173"/>
      <c r="V557" s="173"/>
      <c r="W557" s="173"/>
      <c r="X557" s="173"/>
      <c r="Y557" s="173"/>
      <c r="Z557" s="173"/>
      <c r="AA557" s="173"/>
      <c r="AB557" s="173"/>
      <c r="AC557" s="173"/>
      <c r="AD557" s="173"/>
      <c r="AE557" s="173"/>
      <c r="AF557" s="173"/>
      <c r="AG557" s="173"/>
      <c r="AH557" s="173"/>
      <c r="AI557" s="173"/>
      <c r="AJ557" s="173"/>
      <c r="AK557" s="173"/>
      <c r="AL557" s="173"/>
      <c r="AM557" s="173"/>
      <c r="AN557" s="173"/>
      <c r="AO557" s="173"/>
      <c r="AP557" s="173"/>
    </row>
    <row r="558" spans="6:42">
      <c r="F558" s="692"/>
      <c r="G558" s="692"/>
      <c r="H558" s="692"/>
      <c r="I558" s="692"/>
      <c r="J558" s="692"/>
      <c r="K558" s="692"/>
      <c r="L558" s="692"/>
      <c r="M558" s="692"/>
      <c r="N558" s="692"/>
      <c r="O558" s="692"/>
      <c r="P558" s="692"/>
      <c r="Q558" s="173"/>
      <c r="R558" s="173"/>
      <c r="S558" s="173"/>
      <c r="T558" s="173"/>
      <c r="U558" s="173"/>
      <c r="V558" s="173"/>
      <c r="W558" s="173"/>
      <c r="X558" s="173"/>
      <c r="Y558" s="173"/>
      <c r="Z558" s="173"/>
      <c r="AA558" s="173"/>
      <c r="AB558" s="173"/>
      <c r="AC558" s="173"/>
      <c r="AD558" s="173"/>
      <c r="AE558" s="173"/>
      <c r="AF558" s="173"/>
      <c r="AG558" s="173"/>
      <c r="AH558" s="173"/>
      <c r="AI558" s="173"/>
      <c r="AJ558" s="173"/>
      <c r="AK558" s="173"/>
      <c r="AL558" s="173"/>
      <c r="AM558" s="173"/>
      <c r="AN558" s="173"/>
      <c r="AO558" s="173"/>
      <c r="AP558" s="173"/>
    </row>
    <row r="559" spans="6:42">
      <c r="F559" s="692"/>
      <c r="G559" s="692"/>
      <c r="H559" s="692"/>
      <c r="I559" s="692"/>
      <c r="J559" s="692"/>
      <c r="K559" s="692"/>
      <c r="L559" s="692"/>
      <c r="M559" s="692"/>
      <c r="N559" s="692"/>
      <c r="O559" s="692"/>
      <c r="P559" s="692"/>
      <c r="Q559" s="173"/>
      <c r="R559" s="173"/>
      <c r="S559" s="173"/>
      <c r="T559" s="173"/>
      <c r="U559" s="173"/>
      <c r="V559" s="173"/>
      <c r="W559" s="173"/>
      <c r="X559" s="173"/>
      <c r="Y559" s="173"/>
      <c r="Z559" s="173"/>
      <c r="AA559" s="173"/>
      <c r="AB559" s="173"/>
      <c r="AC559" s="173"/>
      <c r="AD559" s="173"/>
      <c r="AE559" s="173"/>
      <c r="AF559" s="173"/>
      <c r="AG559" s="173"/>
      <c r="AH559" s="173"/>
      <c r="AI559" s="173"/>
      <c r="AJ559" s="173"/>
      <c r="AK559" s="173"/>
      <c r="AL559" s="173"/>
      <c r="AM559" s="173"/>
      <c r="AN559" s="173"/>
      <c r="AO559" s="173"/>
      <c r="AP559" s="173"/>
    </row>
    <row r="560" spans="6:42">
      <c r="F560" s="692"/>
      <c r="G560" s="692"/>
      <c r="H560" s="692"/>
      <c r="I560" s="692"/>
      <c r="J560" s="692"/>
      <c r="K560" s="692"/>
      <c r="L560" s="692"/>
      <c r="M560" s="692"/>
      <c r="N560" s="692"/>
      <c r="O560" s="692"/>
      <c r="P560" s="692"/>
      <c r="Q560" s="173"/>
      <c r="R560" s="173"/>
      <c r="S560" s="173"/>
      <c r="T560" s="173"/>
      <c r="U560" s="173"/>
      <c r="V560" s="173"/>
      <c r="W560" s="173"/>
      <c r="X560" s="173"/>
      <c r="Y560" s="173"/>
      <c r="Z560" s="173"/>
      <c r="AA560" s="173"/>
      <c r="AB560" s="173"/>
      <c r="AC560" s="173"/>
      <c r="AD560" s="173"/>
      <c r="AE560" s="173"/>
      <c r="AF560" s="173"/>
      <c r="AG560" s="173"/>
      <c r="AH560" s="173"/>
      <c r="AI560" s="173"/>
      <c r="AJ560" s="173"/>
      <c r="AK560" s="173"/>
      <c r="AL560" s="173"/>
      <c r="AM560" s="173"/>
      <c r="AN560" s="173"/>
      <c r="AO560" s="173"/>
      <c r="AP560" s="173"/>
    </row>
    <row r="561" spans="6:42">
      <c r="F561" s="692"/>
      <c r="G561" s="692"/>
      <c r="H561" s="692"/>
      <c r="I561" s="692"/>
      <c r="J561" s="692"/>
      <c r="K561" s="692"/>
      <c r="L561" s="692"/>
      <c r="M561" s="692"/>
      <c r="N561" s="692"/>
      <c r="O561" s="692"/>
      <c r="P561" s="692"/>
      <c r="Q561" s="173"/>
      <c r="R561" s="173"/>
      <c r="S561" s="173"/>
      <c r="T561" s="173"/>
      <c r="U561" s="173"/>
      <c r="V561" s="173"/>
      <c r="W561" s="173"/>
      <c r="X561" s="173"/>
      <c r="Y561" s="173"/>
      <c r="Z561" s="173"/>
      <c r="AA561" s="173"/>
      <c r="AB561" s="173"/>
      <c r="AC561" s="173"/>
      <c r="AD561" s="173"/>
      <c r="AE561" s="173"/>
      <c r="AF561" s="173"/>
      <c r="AG561" s="173"/>
      <c r="AH561" s="173"/>
      <c r="AI561" s="173"/>
      <c r="AJ561" s="173"/>
      <c r="AK561" s="173"/>
      <c r="AL561" s="173"/>
      <c r="AM561" s="173"/>
      <c r="AN561" s="173"/>
      <c r="AO561" s="173"/>
      <c r="AP561" s="173"/>
    </row>
    <row r="562" spans="6:42">
      <c r="F562" s="692"/>
      <c r="G562" s="692"/>
      <c r="H562" s="692"/>
      <c r="I562" s="692"/>
      <c r="J562" s="692"/>
      <c r="K562" s="692"/>
      <c r="L562" s="692"/>
      <c r="M562" s="692"/>
      <c r="N562" s="692"/>
      <c r="O562" s="692"/>
      <c r="P562" s="692"/>
      <c r="Q562" s="173"/>
      <c r="R562" s="173"/>
      <c r="S562" s="173"/>
      <c r="T562" s="173"/>
      <c r="U562" s="173"/>
      <c r="V562" s="173"/>
      <c r="W562" s="173"/>
      <c r="X562" s="173"/>
      <c r="Y562" s="173"/>
      <c r="Z562" s="173"/>
      <c r="AA562" s="173"/>
      <c r="AB562" s="173"/>
      <c r="AC562" s="173"/>
      <c r="AD562" s="173"/>
      <c r="AE562" s="173"/>
      <c r="AF562" s="173"/>
      <c r="AG562" s="173"/>
      <c r="AH562" s="173"/>
      <c r="AI562" s="173"/>
      <c r="AJ562" s="173"/>
      <c r="AK562" s="173"/>
      <c r="AL562" s="173"/>
      <c r="AM562" s="173"/>
      <c r="AN562" s="173"/>
      <c r="AO562" s="173"/>
      <c r="AP562" s="173"/>
    </row>
    <row r="563" spans="6:42">
      <c r="F563" s="692"/>
      <c r="G563" s="692"/>
      <c r="H563" s="692"/>
      <c r="I563" s="692"/>
      <c r="J563" s="692"/>
      <c r="K563" s="692"/>
      <c r="L563" s="692"/>
      <c r="M563" s="692"/>
      <c r="N563" s="692"/>
      <c r="O563" s="692"/>
      <c r="P563" s="692"/>
      <c r="Q563" s="173"/>
      <c r="R563" s="173"/>
      <c r="S563" s="173"/>
      <c r="T563" s="173"/>
      <c r="U563" s="173"/>
      <c r="V563" s="173"/>
      <c r="W563" s="173"/>
      <c r="X563" s="173"/>
      <c r="Y563" s="173"/>
      <c r="Z563" s="173"/>
      <c r="AA563" s="173"/>
      <c r="AB563" s="173"/>
      <c r="AC563" s="173"/>
      <c r="AD563" s="173"/>
      <c r="AE563" s="173"/>
      <c r="AF563" s="173"/>
      <c r="AG563" s="173"/>
      <c r="AH563" s="173"/>
      <c r="AI563" s="173"/>
      <c r="AJ563" s="173"/>
      <c r="AK563" s="173"/>
      <c r="AL563" s="173"/>
      <c r="AM563" s="173"/>
      <c r="AN563" s="173"/>
      <c r="AO563" s="173"/>
      <c r="AP563" s="173"/>
    </row>
    <row r="564" spans="6:42">
      <c r="F564" s="692"/>
      <c r="G564" s="692"/>
      <c r="H564" s="692"/>
      <c r="I564" s="692"/>
      <c r="J564" s="692"/>
      <c r="K564" s="692"/>
      <c r="L564" s="692"/>
      <c r="M564" s="692"/>
      <c r="N564" s="692"/>
      <c r="O564" s="692"/>
      <c r="P564" s="692"/>
      <c r="Q564" s="173"/>
      <c r="R564" s="173"/>
      <c r="S564" s="173"/>
      <c r="T564" s="173"/>
      <c r="U564" s="173"/>
      <c r="V564" s="173"/>
      <c r="W564" s="173"/>
      <c r="X564" s="173"/>
      <c r="Y564" s="173"/>
      <c r="Z564" s="173"/>
      <c r="AA564" s="173"/>
      <c r="AB564" s="173"/>
      <c r="AC564" s="173"/>
      <c r="AD564" s="173"/>
      <c r="AE564" s="173"/>
      <c r="AF564" s="173"/>
      <c r="AG564" s="173"/>
      <c r="AH564" s="173"/>
      <c r="AI564" s="173"/>
      <c r="AJ564" s="173"/>
      <c r="AK564" s="173"/>
      <c r="AL564" s="173"/>
      <c r="AM564" s="173"/>
      <c r="AN564" s="173"/>
      <c r="AO564" s="173"/>
      <c r="AP564" s="173"/>
    </row>
    <row r="565" spans="6:42">
      <c r="F565" s="692"/>
      <c r="G565" s="692"/>
      <c r="H565" s="692"/>
      <c r="I565" s="692"/>
      <c r="J565" s="692"/>
      <c r="K565" s="692"/>
      <c r="L565" s="692"/>
      <c r="M565" s="692"/>
      <c r="N565" s="692"/>
      <c r="O565" s="692"/>
      <c r="P565" s="692"/>
      <c r="Q565" s="173"/>
      <c r="R565" s="173"/>
      <c r="S565" s="173"/>
      <c r="T565" s="173"/>
      <c r="U565" s="173"/>
      <c r="V565" s="173"/>
      <c r="W565" s="173"/>
      <c r="X565" s="173"/>
      <c r="Y565" s="173"/>
      <c r="Z565" s="173"/>
      <c r="AA565" s="173"/>
      <c r="AB565" s="173"/>
      <c r="AC565" s="173"/>
      <c r="AD565" s="173"/>
      <c r="AE565" s="173"/>
      <c r="AF565" s="173"/>
      <c r="AG565" s="173"/>
      <c r="AH565" s="173"/>
      <c r="AI565" s="173"/>
      <c r="AJ565" s="173"/>
      <c r="AK565" s="173"/>
      <c r="AL565" s="173"/>
      <c r="AM565" s="173"/>
      <c r="AN565" s="173"/>
      <c r="AO565" s="173"/>
      <c r="AP565" s="173"/>
    </row>
    <row r="566" spans="6:42">
      <c r="F566" s="692"/>
      <c r="G566" s="692"/>
      <c r="H566" s="692"/>
      <c r="I566" s="692"/>
      <c r="J566" s="692"/>
      <c r="K566" s="692"/>
      <c r="L566" s="692"/>
      <c r="M566" s="692"/>
      <c r="N566" s="692"/>
      <c r="O566" s="692"/>
      <c r="P566" s="692"/>
      <c r="Q566" s="173"/>
      <c r="R566" s="173"/>
      <c r="S566" s="173"/>
      <c r="T566" s="173"/>
      <c r="U566" s="173"/>
      <c r="V566" s="173"/>
      <c r="W566" s="173"/>
      <c r="X566" s="173"/>
      <c r="Y566" s="173"/>
      <c r="Z566" s="173"/>
      <c r="AA566" s="173"/>
      <c r="AB566" s="173"/>
      <c r="AC566" s="173"/>
      <c r="AD566" s="173"/>
      <c r="AE566" s="173"/>
      <c r="AF566" s="173"/>
      <c r="AG566" s="173"/>
      <c r="AH566" s="173"/>
      <c r="AI566" s="173"/>
      <c r="AJ566" s="173"/>
      <c r="AK566" s="173"/>
      <c r="AL566" s="173"/>
      <c r="AM566" s="173"/>
      <c r="AN566" s="173"/>
      <c r="AO566" s="173"/>
      <c r="AP566" s="173"/>
    </row>
    <row r="567" spans="6:42">
      <c r="F567" s="692"/>
      <c r="G567" s="692"/>
      <c r="H567" s="692"/>
      <c r="I567" s="692"/>
      <c r="J567" s="692"/>
      <c r="K567" s="692"/>
      <c r="L567" s="692"/>
      <c r="M567" s="692"/>
      <c r="N567" s="692"/>
      <c r="O567" s="692"/>
      <c r="P567" s="692"/>
      <c r="Q567" s="173"/>
      <c r="R567" s="173"/>
      <c r="S567" s="173"/>
      <c r="T567" s="173"/>
      <c r="U567" s="173"/>
      <c r="V567" s="173"/>
      <c r="W567" s="173"/>
      <c r="X567" s="173"/>
      <c r="Y567" s="173"/>
      <c r="Z567" s="173"/>
      <c r="AA567" s="173"/>
      <c r="AB567" s="173"/>
      <c r="AC567" s="173"/>
      <c r="AD567" s="173"/>
      <c r="AE567" s="173"/>
      <c r="AF567" s="173"/>
      <c r="AG567" s="173"/>
      <c r="AH567" s="173"/>
      <c r="AI567" s="173"/>
      <c r="AJ567" s="173"/>
      <c r="AK567" s="173"/>
      <c r="AL567" s="173"/>
      <c r="AM567" s="173"/>
      <c r="AN567" s="173"/>
      <c r="AO567" s="173"/>
      <c r="AP567" s="173"/>
    </row>
    <row r="568" spans="6:42">
      <c r="F568" s="692"/>
      <c r="G568" s="692"/>
      <c r="H568" s="692"/>
      <c r="I568" s="692"/>
      <c r="J568" s="692"/>
      <c r="K568" s="692"/>
      <c r="L568" s="692"/>
      <c r="M568" s="692"/>
      <c r="N568" s="692"/>
      <c r="O568" s="692"/>
      <c r="P568" s="692"/>
      <c r="Q568" s="173"/>
      <c r="R568" s="173"/>
      <c r="S568" s="173"/>
      <c r="T568" s="173"/>
      <c r="U568" s="173"/>
      <c r="V568" s="173"/>
      <c r="W568" s="173"/>
      <c r="X568" s="173"/>
      <c r="Y568" s="173"/>
      <c r="Z568" s="173"/>
      <c r="AA568" s="173"/>
      <c r="AB568" s="173"/>
      <c r="AC568" s="173"/>
      <c r="AD568" s="173"/>
      <c r="AE568" s="173"/>
      <c r="AF568" s="173"/>
      <c r="AG568" s="173"/>
      <c r="AH568" s="173"/>
      <c r="AI568" s="173"/>
      <c r="AJ568" s="173"/>
      <c r="AK568" s="173"/>
      <c r="AL568" s="173"/>
      <c r="AM568" s="173"/>
      <c r="AN568" s="173"/>
      <c r="AO568" s="173"/>
      <c r="AP568" s="173"/>
    </row>
    <row r="569" spans="6:42">
      <c r="F569" s="692"/>
      <c r="G569" s="692"/>
      <c r="H569" s="692"/>
      <c r="I569" s="692"/>
      <c r="J569" s="692"/>
      <c r="K569" s="692"/>
      <c r="L569" s="692"/>
      <c r="M569" s="692"/>
      <c r="N569" s="692"/>
      <c r="O569" s="692"/>
      <c r="P569" s="692"/>
      <c r="Q569" s="173"/>
      <c r="R569" s="173"/>
      <c r="S569" s="173"/>
      <c r="T569" s="173"/>
      <c r="U569" s="173"/>
      <c r="V569" s="173"/>
      <c r="W569" s="173"/>
      <c r="X569" s="173"/>
      <c r="Y569" s="173"/>
      <c r="Z569" s="173"/>
      <c r="AA569" s="173"/>
      <c r="AB569" s="173"/>
      <c r="AC569" s="173"/>
      <c r="AD569" s="173"/>
      <c r="AE569" s="173"/>
      <c r="AF569" s="173"/>
      <c r="AG569" s="173"/>
      <c r="AH569" s="173"/>
      <c r="AI569" s="173"/>
      <c r="AJ569" s="173"/>
      <c r="AK569" s="173"/>
      <c r="AL569" s="173"/>
      <c r="AM569" s="173"/>
      <c r="AN569" s="173"/>
      <c r="AO569" s="173"/>
      <c r="AP569" s="173"/>
    </row>
    <row r="570" spans="6:42">
      <c r="F570" s="692"/>
      <c r="G570" s="692"/>
      <c r="H570" s="692"/>
      <c r="I570" s="692"/>
      <c r="J570" s="692"/>
      <c r="K570" s="692"/>
      <c r="L570" s="692"/>
      <c r="M570" s="692"/>
      <c r="N570" s="692"/>
      <c r="O570" s="692"/>
      <c r="P570" s="692"/>
      <c r="Q570" s="173"/>
      <c r="R570" s="173"/>
      <c r="S570" s="173"/>
      <c r="T570" s="173"/>
      <c r="U570" s="173"/>
      <c r="V570" s="173"/>
      <c r="W570" s="173"/>
      <c r="X570" s="173"/>
      <c r="Y570" s="173"/>
      <c r="Z570" s="173"/>
      <c r="AA570" s="173"/>
      <c r="AB570" s="173"/>
      <c r="AC570" s="173"/>
      <c r="AD570" s="173"/>
      <c r="AE570" s="173"/>
      <c r="AF570" s="173"/>
      <c r="AG570" s="173"/>
      <c r="AH570" s="173"/>
      <c r="AI570" s="173"/>
      <c r="AJ570" s="173"/>
      <c r="AK570" s="173"/>
      <c r="AL570" s="173"/>
      <c r="AM570" s="173"/>
      <c r="AN570" s="173"/>
      <c r="AO570" s="173"/>
      <c r="AP570" s="173"/>
    </row>
    <row r="571" spans="6:42">
      <c r="F571" s="692"/>
      <c r="G571" s="692"/>
      <c r="H571" s="692"/>
      <c r="I571" s="692"/>
      <c r="J571" s="692"/>
      <c r="K571" s="692"/>
      <c r="L571" s="692"/>
      <c r="M571" s="692"/>
      <c r="N571" s="692"/>
      <c r="O571" s="692"/>
      <c r="P571" s="692"/>
      <c r="Q571" s="173"/>
      <c r="R571" s="173"/>
      <c r="S571" s="173"/>
      <c r="T571" s="173"/>
      <c r="U571" s="173"/>
      <c r="V571" s="173"/>
      <c r="W571" s="173"/>
      <c r="X571" s="173"/>
      <c r="Y571" s="173"/>
      <c r="Z571" s="173"/>
      <c r="AA571" s="173"/>
      <c r="AB571" s="173"/>
      <c r="AC571" s="173"/>
      <c r="AD571" s="173"/>
      <c r="AE571" s="173"/>
      <c r="AF571" s="173"/>
      <c r="AG571" s="173"/>
      <c r="AH571" s="173"/>
      <c r="AI571" s="173"/>
      <c r="AJ571" s="173"/>
      <c r="AK571" s="173"/>
      <c r="AL571" s="173"/>
      <c r="AM571" s="173"/>
      <c r="AN571" s="173"/>
      <c r="AO571" s="173"/>
      <c r="AP571" s="173"/>
    </row>
    <row r="572" spans="6:42">
      <c r="F572" s="692"/>
      <c r="G572" s="692"/>
      <c r="H572" s="692"/>
      <c r="I572" s="692"/>
      <c r="J572" s="692"/>
      <c r="K572" s="692"/>
      <c r="L572" s="692"/>
      <c r="M572" s="692"/>
      <c r="N572" s="692"/>
      <c r="O572" s="692"/>
      <c r="P572" s="692"/>
      <c r="Q572" s="173"/>
      <c r="R572" s="173"/>
      <c r="S572" s="173"/>
      <c r="T572" s="173"/>
      <c r="U572" s="173"/>
      <c r="V572" s="173"/>
      <c r="W572" s="173"/>
      <c r="X572" s="173"/>
      <c r="Y572" s="173"/>
      <c r="Z572" s="173"/>
      <c r="AA572" s="173"/>
      <c r="AB572" s="173"/>
      <c r="AC572" s="173"/>
      <c r="AD572" s="173"/>
      <c r="AE572" s="173"/>
      <c r="AF572" s="173"/>
      <c r="AG572" s="173"/>
      <c r="AH572" s="173"/>
      <c r="AI572" s="173"/>
      <c r="AJ572" s="173"/>
      <c r="AK572" s="173"/>
      <c r="AL572" s="173"/>
      <c r="AM572" s="173"/>
      <c r="AN572" s="173"/>
      <c r="AO572" s="173"/>
      <c r="AP572" s="173"/>
    </row>
    <row r="573" spans="6:42">
      <c r="F573" s="692"/>
      <c r="G573" s="692"/>
      <c r="H573" s="692"/>
      <c r="I573" s="692"/>
      <c r="J573" s="692"/>
      <c r="K573" s="692"/>
      <c r="L573" s="692"/>
      <c r="M573" s="692"/>
      <c r="N573" s="692"/>
      <c r="O573" s="692"/>
      <c r="P573" s="692"/>
      <c r="Q573" s="173"/>
      <c r="R573" s="173"/>
      <c r="S573" s="173"/>
      <c r="T573" s="173"/>
      <c r="U573" s="173"/>
      <c r="V573" s="173"/>
      <c r="W573" s="173"/>
      <c r="X573" s="173"/>
      <c r="Y573" s="173"/>
      <c r="Z573" s="173"/>
      <c r="AA573" s="173"/>
      <c r="AB573" s="173"/>
      <c r="AC573" s="173"/>
      <c r="AD573" s="173"/>
      <c r="AE573" s="173"/>
      <c r="AF573" s="173"/>
      <c r="AG573" s="173"/>
      <c r="AH573" s="173"/>
      <c r="AI573" s="173"/>
      <c r="AJ573" s="173"/>
      <c r="AK573" s="173"/>
      <c r="AL573" s="173"/>
      <c r="AM573" s="173"/>
      <c r="AN573" s="173"/>
      <c r="AO573" s="173"/>
      <c r="AP573" s="173"/>
    </row>
    <row r="574" spans="6:42" ht="12.75" customHeight="1">
      <c r="F574" s="692"/>
      <c r="G574" s="692"/>
      <c r="H574" s="692"/>
      <c r="I574" s="692"/>
      <c r="J574" s="692"/>
      <c r="K574" s="692"/>
      <c r="L574" s="692"/>
      <c r="M574" s="692"/>
      <c r="N574" s="692"/>
      <c r="O574" s="692"/>
      <c r="P574" s="692"/>
      <c r="Q574" s="173"/>
      <c r="R574" s="173"/>
      <c r="S574" s="173"/>
      <c r="T574" s="173"/>
      <c r="U574" s="173"/>
      <c r="V574" s="173"/>
      <c r="W574" s="173"/>
      <c r="X574" s="173"/>
      <c r="Y574" s="173"/>
      <c r="Z574" s="173"/>
      <c r="AA574" s="173"/>
      <c r="AB574" s="173"/>
      <c r="AC574" s="173"/>
      <c r="AD574" s="173"/>
      <c r="AE574" s="173"/>
      <c r="AF574" s="173"/>
      <c r="AG574" s="173"/>
      <c r="AH574" s="173"/>
      <c r="AI574" s="173"/>
      <c r="AJ574" s="173"/>
      <c r="AK574" s="173"/>
      <c r="AL574" s="173"/>
      <c r="AM574" s="173"/>
      <c r="AN574" s="173"/>
      <c r="AO574" s="173"/>
      <c r="AP574" s="173"/>
    </row>
    <row r="575" spans="6:42" ht="12.75" customHeight="1">
      <c r="F575" s="692"/>
      <c r="G575" s="692"/>
      <c r="H575" s="692"/>
      <c r="I575" s="692"/>
      <c r="J575" s="692"/>
      <c r="K575" s="692"/>
      <c r="L575" s="692"/>
      <c r="M575" s="692"/>
      <c r="N575" s="692"/>
      <c r="O575" s="692"/>
      <c r="P575" s="692"/>
      <c r="Q575" s="173"/>
      <c r="R575" s="173"/>
      <c r="S575" s="173"/>
      <c r="T575" s="173"/>
      <c r="U575" s="173"/>
      <c r="V575" s="173"/>
      <c r="W575" s="173"/>
      <c r="X575" s="173"/>
      <c r="Y575" s="173"/>
      <c r="Z575" s="173"/>
      <c r="AA575" s="173"/>
      <c r="AB575" s="173"/>
      <c r="AC575" s="173"/>
      <c r="AD575" s="173"/>
      <c r="AE575" s="173"/>
      <c r="AF575" s="173"/>
      <c r="AG575" s="173"/>
      <c r="AH575" s="173"/>
      <c r="AI575" s="173"/>
      <c r="AJ575" s="173"/>
      <c r="AK575" s="173"/>
      <c r="AL575" s="173"/>
      <c r="AM575" s="173"/>
      <c r="AN575" s="173"/>
      <c r="AO575" s="173"/>
      <c r="AP575" s="173"/>
    </row>
    <row r="576" spans="6:42">
      <c r="F576" s="692"/>
      <c r="G576" s="692"/>
      <c r="H576" s="692"/>
      <c r="I576" s="692"/>
      <c r="J576" s="692"/>
      <c r="K576" s="692"/>
      <c r="L576" s="692"/>
      <c r="M576" s="692"/>
      <c r="N576" s="692"/>
      <c r="O576" s="692"/>
      <c r="P576" s="692"/>
      <c r="Q576" s="173"/>
      <c r="R576" s="173"/>
      <c r="S576" s="173"/>
      <c r="T576" s="173"/>
      <c r="U576" s="173"/>
      <c r="V576" s="173"/>
      <c r="W576" s="173"/>
      <c r="X576" s="173"/>
      <c r="Y576" s="173"/>
      <c r="Z576" s="173"/>
      <c r="AA576" s="173"/>
      <c r="AB576" s="173"/>
      <c r="AC576" s="173"/>
      <c r="AD576" s="173"/>
      <c r="AE576" s="173"/>
      <c r="AF576" s="173"/>
      <c r="AG576" s="173"/>
      <c r="AH576" s="173"/>
      <c r="AI576" s="173"/>
      <c r="AJ576" s="173"/>
      <c r="AK576" s="173"/>
      <c r="AL576" s="173"/>
      <c r="AM576" s="173"/>
      <c r="AN576" s="173"/>
      <c r="AO576" s="173"/>
      <c r="AP576" s="173"/>
    </row>
    <row r="577" spans="6:42">
      <c r="F577" s="692"/>
      <c r="G577" s="692"/>
      <c r="H577" s="692"/>
      <c r="I577" s="692"/>
      <c r="J577" s="692"/>
      <c r="K577" s="692"/>
      <c r="L577" s="692"/>
      <c r="M577" s="692"/>
      <c r="N577" s="692"/>
      <c r="O577" s="692"/>
      <c r="P577" s="692"/>
      <c r="Q577" s="173"/>
      <c r="R577" s="173"/>
      <c r="S577" s="173"/>
      <c r="T577" s="173"/>
      <c r="U577" s="173"/>
      <c r="V577" s="173"/>
      <c r="W577" s="173"/>
      <c r="X577" s="173"/>
      <c r="Y577" s="173"/>
      <c r="Z577" s="173"/>
      <c r="AA577" s="173"/>
      <c r="AB577" s="173"/>
      <c r="AC577" s="173"/>
      <c r="AD577" s="173"/>
      <c r="AE577" s="173"/>
      <c r="AF577" s="173"/>
      <c r="AG577" s="173"/>
      <c r="AH577" s="173"/>
      <c r="AI577" s="173"/>
      <c r="AJ577" s="173"/>
      <c r="AK577" s="173"/>
      <c r="AL577" s="173"/>
      <c r="AM577" s="173"/>
      <c r="AN577" s="173"/>
      <c r="AO577" s="173"/>
      <c r="AP577" s="173"/>
    </row>
    <row r="578" spans="6:42">
      <c r="F578" s="692"/>
      <c r="G578" s="692"/>
      <c r="H578" s="692"/>
      <c r="I578" s="692"/>
      <c r="J578" s="692"/>
      <c r="K578" s="692"/>
      <c r="L578" s="692"/>
      <c r="M578" s="692"/>
      <c r="N578" s="692"/>
      <c r="O578" s="692"/>
      <c r="P578" s="692"/>
      <c r="Q578" s="173"/>
      <c r="R578" s="173"/>
      <c r="S578" s="173"/>
      <c r="T578" s="173"/>
      <c r="U578" s="173"/>
      <c r="V578" s="173"/>
      <c r="W578" s="173"/>
      <c r="X578" s="173"/>
      <c r="Y578" s="173"/>
      <c r="Z578" s="173"/>
      <c r="AA578" s="173"/>
      <c r="AB578" s="173"/>
      <c r="AC578" s="173"/>
      <c r="AD578" s="173"/>
      <c r="AE578" s="173"/>
      <c r="AF578" s="173"/>
      <c r="AG578" s="173"/>
      <c r="AH578" s="173"/>
      <c r="AI578" s="173"/>
      <c r="AJ578" s="173"/>
      <c r="AK578" s="173"/>
      <c r="AL578" s="173"/>
      <c r="AM578" s="173"/>
      <c r="AN578" s="173"/>
      <c r="AO578" s="173"/>
      <c r="AP578" s="173"/>
    </row>
    <row r="579" spans="6:42">
      <c r="F579" s="692"/>
      <c r="G579" s="692"/>
      <c r="H579" s="692"/>
      <c r="I579" s="692"/>
      <c r="J579" s="692"/>
      <c r="K579" s="692"/>
      <c r="L579" s="692"/>
      <c r="M579" s="692"/>
      <c r="N579" s="692"/>
      <c r="O579" s="692"/>
      <c r="P579" s="692"/>
      <c r="Q579" s="173"/>
      <c r="R579" s="173"/>
      <c r="S579" s="173"/>
      <c r="T579" s="173"/>
      <c r="U579" s="173"/>
      <c r="V579" s="173"/>
      <c r="W579" s="173"/>
      <c r="X579" s="173"/>
      <c r="Y579" s="173"/>
      <c r="Z579" s="173"/>
      <c r="AA579" s="173"/>
      <c r="AB579" s="173"/>
      <c r="AC579" s="173"/>
      <c r="AD579" s="173"/>
      <c r="AE579" s="173"/>
      <c r="AF579" s="173"/>
      <c r="AG579" s="173"/>
      <c r="AH579" s="173"/>
      <c r="AI579" s="173"/>
      <c r="AJ579" s="173"/>
      <c r="AK579" s="173"/>
      <c r="AL579" s="173"/>
      <c r="AM579" s="173"/>
      <c r="AN579" s="173"/>
      <c r="AO579" s="173"/>
      <c r="AP579" s="173"/>
    </row>
    <row r="580" spans="6:42">
      <c r="F580" s="692"/>
      <c r="G580" s="692"/>
      <c r="H580" s="692"/>
      <c r="I580" s="692"/>
      <c r="J580" s="692"/>
      <c r="K580" s="692"/>
      <c r="L580" s="692"/>
      <c r="M580" s="692"/>
      <c r="N580" s="692"/>
      <c r="O580" s="692"/>
      <c r="P580" s="692"/>
      <c r="Q580" s="173"/>
      <c r="R580" s="173"/>
      <c r="S580" s="173"/>
      <c r="T580" s="173"/>
      <c r="U580" s="173"/>
      <c r="V580" s="173"/>
      <c r="W580" s="173"/>
      <c r="X580" s="173"/>
      <c r="Y580" s="173"/>
      <c r="Z580" s="173"/>
      <c r="AA580" s="173"/>
      <c r="AB580" s="173"/>
      <c r="AC580" s="173"/>
      <c r="AD580" s="173"/>
      <c r="AE580" s="173"/>
      <c r="AF580" s="173"/>
      <c r="AG580" s="173"/>
      <c r="AH580" s="173"/>
      <c r="AI580" s="173"/>
      <c r="AJ580" s="173"/>
      <c r="AK580" s="173"/>
      <c r="AL580" s="173"/>
      <c r="AM580" s="173"/>
      <c r="AN580" s="173"/>
      <c r="AO580" s="173"/>
      <c r="AP580" s="173"/>
    </row>
    <row r="581" spans="6:42">
      <c r="F581" s="692"/>
      <c r="G581" s="692"/>
      <c r="H581" s="692"/>
      <c r="I581" s="692"/>
      <c r="J581" s="692"/>
      <c r="K581" s="692"/>
      <c r="L581" s="692"/>
      <c r="M581" s="692"/>
      <c r="N581" s="692"/>
      <c r="O581" s="692"/>
      <c r="P581" s="692"/>
      <c r="Q581" s="173"/>
      <c r="R581" s="173"/>
      <c r="S581" s="173"/>
      <c r="T581" s="173"/>
      <c r="U581" s="173"/>
      <c r="V581" s="173"/>
      <c r="W581" s="173"/>
      <c r="X581" s="173"/>
      <c r="Y581" s="173"/>
      <c r="Z581" s="173"/>
      <c r="AA581" s="173"/>
      <c r="AB581" s="173"/>
      <c r="AC581" s="173"/>
      <c r="AD581" s="173"/>
      <c r="AE581" s="173"/>
      <c r="AF581" s="173"/>
      <c r="AG581" s="173"/>
      <c r="AH581" s="173"/>
      <c r="AI581" s="173"/>
      <c r="AJ581" s="173"/>
      <c r="AK581" s="173"/>
      <c r="AL581" s="173"/>
      <c r="AM581" s="173"/>
      <c r="AN581" s="173"/>
      <c r="AO581" s="173"/>
      <c r="AP581" s="173"/>
    </row>
    <row r="582" spans="6:42">
      <c r="F582" s="692"/>
      <c r="G582" s="692"/>
      <c r="H582" s="692"/>
      <c r="I582" s="692"/>
      <c r="J582" s="692"/>
      <c r="K582" s="692"/>
      <c r="L582" s="692"/>
      <c r="M582" s="692"/>
      <c r="N582" s="692"/>
      <c r="O582" s="692"/>
      <c r="P582" s="692"/>
      <c r="Q582" s="173"/>
      <c r="R582" s="173"/>
      <c r="S582" s="173"/>
      <c r="T582" s="173"/>
      <c r="U582" s="173"/>
      <c r="V582" s="173"/>
      <c r="W582" s="173"/>
      <c r="X582" s="173"/>
      <c r="Y582" s="173"/>
      <c r="Z582" s="173"/>
      <c r="AA582" s="173"/>
      <c r="AB582" s="173"/>
      <c r="AC582" s="173"/>
      <c r="AD582" s="173"/>
      <c r="AE582" s="173"/>
      <c r="AF582" s="173"/>
      <c r="AG582" s="173"/>
      <c r="AH582" s="173"/>
      <c r="AI582" s="173"/>
      <c r="AJ582" s="173"/>
      <c r="AK582" s="173"/>
      <c r="AL582" s="173"/>
      <c r="AM582" s="173"/>
      <c r="AN582" s="173"/>
      <c r="AO582" s="173"/>
      <c r="AP582" s="173"/>
    </row>
    <row r="583" spans="6:42">
      <c r="F583" s="692"/>
      <c r="G583" s="692"/>
      <c r="H583" s="692"/>
      <c r="I583" s="692"/>
      <c r="J583" s="692"/>
      <c r="K583" s="692"/>
      <c r="L583" s="692"/>
      <c r="M583" s="692"/>
      <c r="N583" s="692"/>
      <c r="O583" s="692"/>
      <c r="P583" s="692"/>
      <c r="Q583" s="173"/>
      <c r="R583" s="173"/>
      <c r="S583" s="173"/>
      <c r="T583" s="173"/>
      <c r="U583" s="173"/>
      <c r="V583" s="173"/>
      <c r="W583" s="173"/>
      <c r="X583" s="173"/>
      <c r="Y583" s="173"/>
      <c r="Z583" s="173"/>
      <c r="AA583" s="173"/>
      <c r="AB583" s="173"/>
      <c r="AC583" s="173"/>
      <c r="AD583" s="173"/>
      <c r="AE583" s="173"/>
      <c r="AF583" s="173"/>
      <c r="AG583" s="173"/>
      <c r="AH583" s="173"/>
      <c r="AI583" s="173"/>
      <c r="AJ583" s="173"/>
      <c r="AK583" s="173"/>
      <c r="AL583" s="173"/>
      <c r="AM583" s="173"/>
      <c r="AN583" s="173"/>
      <c r="AO583" s="173"/>
      <c r="AP583" s="173"/>
    </row>
    <row r="584" spans="6:42">
      <c r="F584" s="692"/>
      <c r="G584" s="692"/>
      <c r="H584" s="692"/>
      <c r="I584" s="692"/>
      <c r="J584" s="692"/>
      <c r="K584" s="692"/>
      <c r="L584" s="692"/>
      <c r="M584" s="692"/>
      <c r="N584" s="692"/>
      <c r="O584" s="692"/>
      <c r="P584" s="692"/>
      <c r="Q584" s="173"/>
      <c r="R584" s="173"/>
      <c r="S584" s="173"/>
      <c r="T584" s="173"/>
      <c r="U584" s="173"/>
      <c r="V584" s="173"/>
      <c r="W584" s="173"/>
      <c r="X584" s="173"/>
      <c r="Y584" s="173"/>
      <c r="Z584" s="173"/>
      <c r="AA584" s="173"/>
      <c r="AB584" s="173"/>
      <c r="AC584" s="173"/>
      <c r="AD584" s="173"/>
      <c r="AE584" s="173"/>
      <c r="AF584" s="173"/>
      <c r="AG584" s="173"/>
      <c r="AH584" s="173"/>
      <c r="AI584" s="173"/>
      <c r="AJ584" s="173"/>
      <c r="AK584" s="173"/>
      <c r="AL584" s="173"/>
      <c r="AM584" s="173"/>
      <c r="AN584" s="173"/>
      <c r="AO584" s="173"/>
      <c r="AP584" s="173"/>
    </row>
    <row r="585" spans="6:42">
      <c r="F585" s="692"/>
      <c r="G585" s="692"/>
      <c r="H585" s="692"/>
      <c r="I585" s="692"/>
      <c r="J585" s="692"/>
      <c r="K585" s="692"/>
      <c r="L585" s="692"/>
      <c r="M585" s="692"/>
      <c r="N585" s="692"/>
      <c r="O585" s="692"/>
      <c r="P585" s="692"/>
      <c r="Q585" s="173"/>
      <c r="R585" s="173"/>
      <c r="S585" s="173"/>
      <c r="T585" s="173"/>
      <c r="U585" s="173"/>
      <c r="V585" s="173"/>
      <c r="W585" s="173"/>
      <c r="X585" s="173"/>
      <c r="Y585" s="173"/>
      <c r="Z585" s="173"/>
      <c r="AA585" s="173"/>
      <c r="AB585" s="173"/>
      <c r="AC585" s="173"/>
      <c r="AD585" s="173"/>
      <c r="AE585" s="173"/>
      <c r="AF585" s="173"/>
      <c r="AG585" s="173"/>
      <c r="AH585" s="173"/>
      <c r="AI585" s="173"/>
      <c r="AJ585" s="173"/>
      <c r="AK585" s="173"/>
      <c r="AL585" s="173"/>
      <c r="AM585" s="173"/>
      <c r="AN585" s="173"/>
      <c r="AO585" s="173"/>
      <c r="AP585" s="173"/>
    </row>
    <row r="586" spans="6:42">
      <c r="F586" s="692"/>
      <c r="G586" s="692"/>
      <c r="H586" s="692"/>
      <c r="I586" s="692"/>
      <c r="J586" s="692"/>
      <c r="K586" s="692"/>
      <c r="L586" s="692"/>
      <c r="M586" s="692"/>
      <c r="N586" s="692"/>
      <c r="O586" s="692"/>
      <c r="P586" s="692"/>
      <c r="Q586" s="173"/>
      <c r="R586" s="173"/>
      <c r="S586" s="173"/>
      <c r="T586" s="173"/>
      <c r="U586" s="173"/>
      <c r="V586" s="173"/>
      <c r="W586" s="173"/>
      <c r="X586" s="173"/>
      <c r="Y586" s="173"/>
      <c r="Z586" s="173"/>
      <c r="AA586" s="173"/>
      <c r="AB586" s="173"/>
      <c r="AC586" s="173"/>
      <c r="AD586" s="173"/>
      <c r="AE586" s="173"/>
      <c r="AF586" s="173"/>
      <c r="AG586" s="173"/>
      <c r="AH586" s="173"/>
      <c r="AI586" s="173"/>
      <c r="AJ586" s="173"/>
      <c r="AK586" s="173"/>
      <c r="AL586" s="173"/>
      <c r="AM586" s="173"/>
      <c r="AN586" s="173"/>
      <c r="AO586" s="173"/>
      <c r="AP586" s="173"/>
    </row>
    <row r="587" spans="6:42">
      <c r="F587" s="692"/>
      <c r="G587" s="692"/>
      <c r="H587" s="692"/>
      <c r="I587" s="692"/>
      <c r="J587" s="692"/>
      <c r="K587" s="692"/>
      <c r="L587" s="692"/>
      <c r="M587" s="692"/>
      <c r="N587" s="692"/>
      <c r="O587" s="692"/>
      <c r="P587" s="692"/>
      <c r="Q587" s="173"/>
      <c r="R587" s="173"/>
      <c r="S587" s="173"/>
      <c r="T587" s="173"/>
      <c r="U587" s="173"/>
      <c r="V587" s="173"/>
      <c r="W587" s="173"/>
      <c r="X587" s="173"/>
      <c r="Y587" s="173"/>
      <c r="Z587" s="173"/>
      <c r="AA587" s="173"/>
      <c r="AB587" s="173"/>
      <c r="AC587" s="173"/>
      <c r="AD587" s="173"/>
      <c r="AE587" s="173"/>
      <c r="AF587" s="173"/>
      <c r="AG587" s="173"/>
      <c r="AH587" s="173"/>
      <c r="AI587" s="173"/>
      <c r="AJ587" s="173"/>
      <c r="AK587" s="173"/>
      <c r="AL587" s="173"/>
      <c r="AM587" s="173"/>
      <c r="AN587" s="173"/>
      <c r="AO587" s="173"/>
      <c r="AP587" s="173"/>
    </row>
    <row r="588" spans="6:42">
      <c r="F588" s="692"/>
      <c r="G588" s="692"/>
      <c r="H588" s="692"/>
      <c r="I588" s="692"/>
      <c r="J588" s="692"/>
      <c r="K588" s="692"/>
      <c r="L588" s="692"/>
      <c r="M588" s="692"/>
      <c r="N588" s="692"/>
      <c r="O588" s="692"/>
      <c r="P588" s="692"/>
      <c r="Q588" s="173"/>
      <c r="R588" s="173"/>
      <c r="S588" s="173"/>
      <c r="T588" s="173"/>
      <c r="U588" s="173"/>
      <c r="V588" s="173"/>
      <c r="W588" s="173"/>
      <c r="X588" s="173"/>
      <c r="Y588" s="173"/>
      <c r="Z588" s="173"/>
      <c r="AA588" s="173"/>
      <c r="AB588" s="173"/>
      <c r="AC588" s="173"/>
      <c r="AD588" s="173"/>
      <c r="AE588" s="173"/>
      <c r="AF588" s="173"/>
      <c r="AG588" s="173"/>
      <c r="AH588" s="173"/>
      <c r="AI588" s="173"/>
      <c r="AJ588" s="173"/>
      <c r="AK588" s="173"/>
      <c r="AL588" s="173"/>
      <c r="AM588" s="173"/>
      <c r="AN588" s="173"/>
      <c r="AO588" s="173"/>
      <c r="AP588" s="173"/>
    </row>
    <row r="589" spans="6:42">
      <c r="F589" s="692"/>
      <c r="G589" s="692"/>
      <c r="H589" s="692"/>
      <c r="I589" s="692"/>
      <c r="J589" s="692"/>
      <c r="K589" s="692"/>
      <c r="L589" s="692"/>
      <c r="M589" s="692"/>
      <c r="N589" s="692"/>
      <c r="O589" s="692"/>
      <c r="P589" s="692"/>
      <c r="Q589" s="173"/>
      <c r="R589" s="173"/>
      <c r="S589" s="173"/>
      <c r="T589" s="173"/>
      <c r="U589" s="173"/>
      <c r="V589" s="173"/>
      <c r="W589" s="173"/>
      <c r="X589" s="173"/>
      <c r="Y589" s="173"/>
      <c r="Z589" s="173"/>
      <c r="AA589" s="173"/>
      <c r="AB589" s="173"/>
      <c r="AC589" s="173"/>
      <c r="AD589" s="173"/>
      <c r="AE589" s="173"/>
      <c r="AF589" s="173"/>
      <c r="AG589" s="173"/>
      <c r="AH589" s="173"/>
      <c r="AI589" s="173"/>
      <c r="AJ589" s="173"/>
      <c r="AK589" s="173"/>
      <c r="AL589" s="173"/>
      <c r="AM589" s="173"/>
      <c r="AN589" s="173"/>
      <c r="AO589" s="173"/>
      <c r="AP589" s="173"/>
    </row>
    <row r="590" spans="6:42">
      <c r="F590" s="692"/>
      <c r="G590" s="692"/>
      <c r="H590" s="692"/>
      <c r="I590" s="692"/>
      <c r="J590" s="692"/>
      <c r="K590" s="692"/>
      <c r="L590" s="692"/>
      <c r="M590" s="692"/>
      <c r="N590" s="692"/>
      <c r="O590" s="692"/>
      <c r="P590" s="692"/>
      <c r="Q590" s="173"/>
      <c r="R590" s="173"/>
      <c r="S590" s="173"/>
      <c r="T590" s="173"/>
      <c r="U590" s="173"/>
      <c r="V590" s="173"/>
      <c r="W590" s="173"/>
      <c r="X590" s="173"/>
      <c r="Y590" s="173"/>
      <c r="Z590" s="173"/>
      <c r="AA590" s="173"/>
      <c r="AB590" s="173"/>
      <c r="AC590" s="173"/>
      <c r="AD590" s="173"/>
      <c r="AE590" s="173"/>
      <c r="AF590" s="173"/>
      <c r="AG590" s="173"/>
      <c r="AH590" s="173"/>
      <c r="AI590" s="173"/>
      <c r="AJ590" s="173"/>
      <c r="AK590" s="173"/>
      <c r="AL590" s="173"/>
      <c r="AM590" s="173"/>
      <c r="AN590" s="173"/>
      <c r="AO590" s="173"/>
      <c r="AP590" s="173"/>
    </row>
    <row r="591" spans="6:42">
      <c r="F591" s="692"/>
      <c r="G591" s="692"/>
      <c r="H591" s="692"/>
      <c r="I591" s="692"/>
      <c r="J591" s="692"/>
      <c r="K591" s="692"/>
      <c r="L591" s="692"/>
      <c r="M591" s="692"/>
      <c r="N591" s="692"/>
      <c r="O591" s="692"/>
      <c r="P591" s="692"/>
      <c r="Q591" s="173"/>
      <c r="R591" s="173"/>
      <c r="S591" s="173"/>
      <c r="T591" s="173"/>
      <c r="U591" s="173"/>
      <c r="V591" s="173"/>
      <c r="W591" s="173"/>
      <c r="X591" s="173"/>
      <c r="Y591" s="173"/>
      <c r="Z591" s="173"/>
      <c r="AA591" s="173"/>
      <c r="AB591" s="173"/>
      <c r="AC591" s="173"/>
      <c r="AD591" s="173"/>
      <c r="AE591" s="173"/>
      <c r="AF591" s="173"/>
      <c r="AG591" s="173"/>
      <c r="AH591" s="173"/>
      <c r="AI591" s="173"/>
      <c r="AJ591" s="173"/>
      <c r="AK591" s="173"/>
      <c r="AL591" s="173"/>
      <c r="AM591" s="173"/>
      <c r="AN591" s="173"/>
      <c r="AO591" s="173"/>
      <c r="AP591" s="173"/>
    </row>
    <row r="592" spans="6:42">
      <c r="F592" s="692"/>
      <c r="G592" s="692"/>
      <c r="H592" s="692"/>
      <c r="I592" s="692"/>
      <c r="J592" s="692"/>
      <c r="K592" s="692"/>
      <c r="L592" s="692"/>
      <c r="M592" s="692"/>
      <c r="N592" s="692"/>
      <c r="O592" s="692"/>
      <c r="P592" s="692"/>
      <c r="Q592" s="173"/>
      <c r="R592" s="173"/>
      <c r="S592" s="173"/>
      <c r="T592" s="173"/>
      <c r="U592" s="173"/>
      <c r="V592" s="173"/>
      <c r="W592" s="173"/>
      <c r="X592" s="173"/>
      <c r="Y592" s="173"/>
      <c r="Z592" s="173"/>
      <c r="AA592" s="173"/>
      <c r="AB592" s="173"/>
      <c r="AC592" s="173"/>
      <c r="AD592" s="173"/>
      <c r="AE592" s="173"/>
      <c r="AF592" s="173"/>
      <c r="AG592" s="173"/>
      <c r="AH592" s="173"/>
      <c r="AI592" s="173"/>
      <c r="AJ592" s="173"/>
      <c r="AK592" s="173"/>
      <c r="AL592" s="173"/>
      <c r="AM592" s="173"/>
      <c r="AN592" s="173"/>
      <c r="AO592" s="173"/>
      <c r="AP592" s="173"/>
    </row>
    <row r="593" spans="6:42">
      <c r="F593" s="692"/>
      <c r="G593" s="692"/>
      <c r="H593" s="692"/>
      <c r="I593" s="692"/>
      <c r="J593" s="692"/>
      <c r="K593" s="692"/>
      <c r="L593" s="692"/>
      <c r="M593" s="692"/>
      <c r="N593" s="692"/>
      <c r="O593" s="692"/>
      <c r="P593" s="692"/>
      <c r="Q593" s="173"/>
      <c r="R593" s="173"/>
      <c r="S593" s="173"/>
      <c r="T593" s="173"/>
      <c r="U593" s="173"/>
      <c r="V593" s="173"/>
      <c r="W593" s="173"/>
      <c r="X593" s="173"/>
      <c r="Y593" s="173"/>
      <c r="Z593" s="173"/>
      <c r="AA593" s="173"/>
      <c r="AB593" s="173"/>
      <c r="AC593" s="173"/>
      <c r="AD593" s="173"/>
      <c r="AE593" s="173"/>
      <c r="AF593" s="173"/>
      <c r="AG593" s="173"/>
      <c r="AH593" s="173"/>
      <c r="AI593" s="173"/>
      <c r="AJ593" s="173"/>
      <c r="AK593" s="173"/>
      <c r="AL593" s="173"/>
      <c r="AM593" s="173"/>
      <c r="AN593" s="173"/>
      <c r="AO593" s="173"/>
      <c r="AP593" s="173"/>
    </row>
    <row r="594" spans="6:42">
      <c r="F594" s="692"/>
      <c r="G594" s="692"/>
      <c r="H594" s="692"/>
      <c r="I594" s="692"/>
      <c r="J594" s="692"/>
      <c r="K594" s="692"/>
      <c r="L594" s="692"/>
      <c r="M594" s="692"/>
      <c r="N594" s="692"/>
      <c r="O594" s="692"/>
      <c r="P594" s="692"/>
      <c r="Q594" s="173"/>
      <c r="R594" s="173"/>
      <c r="S594" s="173"/>
      <c r="T594" s="173"/>
      <c r="U594" s="173"/>
      <c r="V594" s="173"/>
      <c r="W594" s="173"/>
      <c r="X594" s="173"/>
      <c r="Y594" s="173"/>
      <c r="Z594" s="173"/>
      <c r="AA594" s="173"/>
      <c r="AB594" s="173"/>
      <c r="AC594" s="173"/>
      <c r="AD594" s="173"/>
      <c r="AE594" s="173"/>
      <c r="AF594" s="173"/>
      <c r="AG594" s="173"/>
      <c r="AH594" s="173"/>
      <c r="AI594" s="173"/>
      <c r="AJ594" s="173"/>
      <c r="AK594" s="173"/>
      <c r="AL594" s="173"/>
      <c r="AM594" s="173"/>
      <c r="AN594" s="173"/>
      <c r="AO594" s="173"/>
      <c r="AP594" s="173"/>
    </row>
    <row r="595" spans="6:42">
      <c r="F595" s="692"/>
      <c r="G595" s="692"/>
      <c r="H595" s="692"/>
      <c r="I595" s="692"/>
      <c r="J595" s="692"/>
      <c r="K595" s="692"/>
      <c r="L595" s="692"/>
      <c r="M595" s="692"/>
      <c r="N595" s="692"/>
      <c r="O595" s="692"/>
      <c r="P595" s="692"/>
      <c r="Q595" s="173"/>
      <c r="R595" s="173"/>
      <c r="S595" s="173"/>
      <c r="T595" s="173"/>
      <c r="U595" s="173"/>
      <c r="V595" s="173"/>
      <c r="W595" s="173"/>
      <c r="X595" s="173"/>
      <c r="Y595" s="173"/>
      <c r="Z595" s="173"/>
      <c r="AA595" s="173"/>
      <c r="AB595" s="173"/>
      <c r="AC595" s="173"/>
      <c r="AD595" s="173"/>
      <c r="AE595" s="173"/>
      <c r="AF595" s="173"/>
      <c r="AG595" s="173"/>
      <c r="AH595" s="173"/>
      <c r="AI595" s="173"/>
      <c r="AJ595" s="173"/>
      <c r="AK595" s="173"/>
      <c r="AL595" s="173"/>
      <c r="AM595" s="173"/>
      <c r="AN595" s="173"/>
      <c r="AO595" s="173"/>
      <c r="AP595" s="173"/>
    </row>
    <row r="596" spans="6:42">
      <c r="F596" s="692"/>
      <c r="G596" s="692"/>
      <c r="H596" s="692"/>
      <c r="I596" s="692"/>
      <c r="J596" s="692"/>
      <c r="K596" s="692"/>
      <c r="L596" s="692"/>
      <c r="M596" s="692"/>
      <c r="N596" s="692"/>
      <c r="O596" s="692"/>
      <c r="P596" s="692"/>
      <c r="Q596" s="173"/>
      <c r="R596" s="173"/>
      <c r="S596" s="173"/>
      <c r="T596" s="173"/>
      <c r="U596" s="173"/>
      <c r="V596" s="173"/>
      <c r="W596" s="173"/>
      <c r="X596" s="173"/>
      <c r="Y596" s="173"/>
      <c r="Z596" s="173"/>
      <c r="AA596" s="173"/>
      <c r="AB596" s="173"/>
      <c r="AC596" s="173"/>
      <c r="AD596" s="173"/>
      <c r="AE596" s="173"/>
      <c r="AF596" s="173"/>
      <c r="AG596" s="173"/>
      <c r="AH596" s="173"/>
      <c r="AI596" s="173"/>
      <c r="AJ596" s="173"/>
      <c r="AK596" s="173"/>
      <c r="AL596" s="173"/>
      <c r="AM596" s="173"/>
      <c r="AN596" s="173"/>
      <c r="AO596" s="173"/>
      <c r="AP596" s="173"/>
    </row>
    <row r="597" spans="6:42">
      <c r="F597" s="692"/>
      <c r="G597" s="692"/>
      <c r="H597" s="692"/>
      <c r="I597" s="692"/>
      <c r="J597" s="692"/>
      <c r="K597" s="692"/>
      <c r="L597" s="692"/>
      <c r="M597" s="692"/>
      <c r="N597" s="692"/>
      <c r="O597" s="692"/>
      <c r="P597" s="692"/>
      <c r="Q597" s="173"/>
      <c r="R597" s="173"/>
      <c r="S597" s="173"/>
      <c r="T597" s="173"/>
      <c r="U597" s="173"/>
      <c r="V597" s="173"/>
      <c r="W597" s="173"/>
      <c r="X597" s="173"/>
      <c r="Y597" s="173"/>
      <c r="Z597" s="173"/>
      <c r="AA597" s="173"/>
      <c r="AB597" s="173"/>
      <c r="AC597" s="173"/>
      <c r="AD597" s="173"/>
      <c r="AE597" s="173"/>
      <c r="AF597" s="173"/>
      <c r="AG597" s="173"/>
      <c r="AH597" s="173"/>
      <c r="AI597" s="173"/>
      <c r="AJ597" s="173"/>
      <c r="AK597" s="173"/>
      <c r="AL597" s="173"/>
      <c r="AM597" s="173"/>
      <c r="AN597" s="173"/>
      <c r="AO597" s="173"/>
      <c r="AP597" s="173"/>
    </row>
    <row r="598" spans="6:42">
      <c r="F598" s="692"/>
      <c r="G598" s="692"/>
      <c r="H598" s="692"/>
      <c r="I598" s="692"/>
      <c r="J598" s="692"/>
      <c r="K598" s="692"/>
      <c r="L598" s="692"/>
      <c r="M598" s="692"/>
      <c r="N598" s="692"/>
      <c r="O598" s="692"/>
      <c r="P598" s="692"/>
      <c r="Q598" s="173"/>
      <c r="R598" s="173"/>
      <c r="S598" s="173"/>
      <c r="T598" s="173"/>
      <c r="U598" s="173"/>
      <c r="V598" s="173"/>
      <c r="W598" s="173"/>
      <c r="X598" s="173"/>
      <c r="Y598" s="173"/>
      <c r="Z598" s="173"/>
      <c r="AA598" s="173"/>
      <c r="AB598" s="173"/>
      <c r="AC598" s="173"/>
      <c r="AD598" s="173"/>
      <c r="AE598" s="173"/>
      <c r="AF598" s="173"/>
      <c r="AG598" s="173"/>
      <c r="AH598" s="173"/>
      <c r="AI598" s="173"/>
      <c r="AJ598" s="173"/>
      <c r="AK598" s="173"/>
      <c r="AL598" s="173"/>
      <c r="AM598" s="173"/>
      <c r="AN598" s="173"/>
      <c r="AO598" s="173"/>
      <c r="AP598" s="173"/>
    </row>
    <row r="599" spans="6:42">
      <c r="F599" s="692"/>
      <c r="G599" s="692"/>
      <c r="H599" s="692"/>
      <c r="I599" s="692"/>
      <c r="J599" s="692"/>
      <c r="K599" s="692"/>
      <c r="L599" s="692"/>
      <c r="M599" s="692"/>
      <c r="N599" s="692"/>
      <c r="O599" s="692"/>
      <c r="P599" s="692"/>
      <c r="Q599" s="173"/>
      <c r="R599" s="173"/>
      <c r="S599" s="173"/>
      <c r="T599" s="173"/>
      <c r="U599" s="173"/>
      <c r="V599" s="173"/>
      <c r="W599" s="173"/>
      <c r="X599" s="173"/>
      <c r="Y599" s="173"/>
      <c r="Z599" s="173"/>
      <c r="AA599" s="173"/>
      <c r="AB599" s="173"/>
      <c r="AC599" s="173"/>
      <c r="AD599" s="173"/>
      <c r="AE599" s="173"/>
      <c r="AF599" s="173"/>
      <c r="AG599" s="173"/>
      <c r="AH599" s="173"/>
      <c r="AI599" s="173"/>
      <c r="AJ599" s="173"/>
      <c r="AK599" s="173"/>
      <c r="AL599" s="173"/>
      <c r="AM599" s="173"/>
      <c r="AN599" s="173"/>
      <c r="AO599" s="173"/>
      <c r="AP599" s="173"/>
    </row>
    <row r="600" spans="6:42">
      <c r="F600" s="692"/>
      <c r="G600" s="692"/>
      <c r="H600" s="692"/>
      <c r="I600" s="692"/>
      <c r="J600" s="692"/>
      <c r="K600" s="692"/>
      <c r="L600" s="692"/>
      <c r="M600" s="692"/>
      <c r="N600" s="692"/>
      <c r="O600" s="692"/>
      <c r="P600" s="692"/>
      <c r="Q600" s="173"/>
      <c r="R600" s="173"/>
      <c r="S600" s="173"/>
      <c r="T600" s="173"/>
      <c r="U600" s="173"/>
      <c r="V600" s="173"/>
      <c r="W600" s="173"/>
      <c r="X600" s="173"/>
      <c r="Y600" s="173"/>
      <c r="Z600" s="173"/>
      <c r="AA600" s="173"/>
      <c r="AB600" s="173"/>
      <c r="AC600" s="173"/>
      <c r="AD600" s="173"/>
      <c r="AE600" s="173"/>
      <c r="AF600" s="173"/>
      <c r="AG600" s="173"/>
      <c r="AH600" s="173"/>
      <c r="AI600" s="173"/>
      <c r="AJ600" s="173"/>
      <c r="AK600" s="173"/>
      <c r="AL600" s="173"/>
      <c r="AM600" s="173"/>
      <c r="AN600" s="173"/>
      <c r="AO600" s="173"/>
      <c r="AP600" s="173"/>
    </row>
    <row r="601" spans="6:42">
      <c r="F601" s="692"/>
      <c r="G601" s="692"/>
      <c r="H601" s="692"/>
      <c r="I601" s="692"/>
      <c r="J601" s="692"/>
      <c r="K601" s="692"/>
      <c r="L601" s="692"/>
      <c r="M601" s="692"/>
      <c r="N601" s="692"/>
      <c r="O601" s="692"/>
      <c r="P601" s="692"/>
      <c r="Q601" s="173"/>
      <c r="R601" s="173"/>
      <c r="S601" s="173"/>
      <c r="T601" s="173"/>
      <c r="U601" s="173"/>
      <c r="V601" s="173"/>
      <c r="W601" s="173"/>
      <c r="X601" s="173"/>
      <c r="Y601" s="173"/>
      <c r="Z601" s="173"/>
      <c r="AA601" s="173"/>
      <c r="AB601" s="173"/>
      <c r="AC601" s="173"/>
      <c r="AD601" s="173"/>
      <c r="AE601" s="173"/>
      <c r="AF601" s="173"/>
      <c r="AG601" s="173"/>
      <c r="AH601" s="173"/>
      <c r="AI601" s="173"/>
      <c r="AJ601" s="173"/>
      <c r="AK601" s="173"/>
      <c r="AL601" s="173"/>
      <c r="AM601" s="173"/>
      <c r="AN601" s="173"/>
      <c r="AO601" s="173"/>
      <c r="AP601" s="173"/>
    </row>
    <row r="602" spans="6:42"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/>
      <c r="Q602" s="173"/>
      <c r="R602" s="173"/>
      <c r="S602" s="173"/>
      <c r="T602" s="173"/>
      <c r="U602" s="173"/>
      <c r="V602" s="173"/>
      <c r="W602" s="173"/>
      <c r="X602" s="173"/>
      <c r="Y602" s="173"/>
      <c r="Z602" s="173"/>
      <c r="AA602" s="173"/>
      <c r="AB602" s="173"/>
      <c r="AC602" s="173"/>
      <c r="AD602" s="173"/>
      <c r="AE602" s="173"/>
      <c r="AF602" s="173"/>
      <c r="AG602" s="173"/>
      <c r="AH602" s="173"/>
      <c r="AI602" s="173"/>
      <c r="AJ602" s="173"/>
      <c r="AK602" s="173"/>
      <c r="AL602" s="173"/>
      <c r="AM602" s="173"/>
      <c r="AN602" s="173"/>
      <c r="AO602" s="173"/>
      <c r="AP602" s="173"/>
    </row>
    <row r="603" spans="6:42"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/>
      <c r="Q603" s="173"/>
      <c r="R603" s="173"/>
      <c r="S603" s="173"/>
      <c r="T603" s="173"/>
      <c r="U603" s="173"/>
      <c r="V603" s="173"/>
      <c r="W603" s="173"/>
      <c r="X603" s="173"/>
      <c r="Y603" s="173"/>
      <c r="Z603" s="173"/>
      <c r="AA603" s="173"/>
      <c r="AB603" s="173"/>
      <c r="AC603" s="173"/>
      <c r="AD603" s="173"/>
      <c r="AE603" s="173"/>
      <c r="AF603" s="173"/>
      <c r="AG603" s="173"/>
      <c r="AH603" s="173"/>
      <c r="AI603" s="173"/>
      <c r="AJ603" s="173"/>
      <c r="AK603" s="173"/>
      <c r="AL603" s="173"/>
      <c r="AM603" s="173"/>
      <c r="AN603" s="173"/>
      <c r="AO603" s="173"/>
      <c r="AP603" s="173"/>
    </row>
    <row r="604" spans="6:42"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/>
      <c r="Q604" s="173"/>
      <c r="R604" s="173"/>
      <c r="S604" s="173"/>
      <c r="T604" s="173"/>
      <c r="U604" s="173"/>
      <c r="V604" s="173"/>
      <c r="W604" s="173"/>
      <c r="X604" s="173"/>
      <c r="Y604" s="173"/>
      <c r="Z604" s="173"/>
      <c r="AA604" s="173"/>
      <c r="AB604" s="173"/>
      <c r="AC604" s="173"/>
      <c r="AD604" s="173"/>
      <c r="AE604" s="173"/>
      <c r="AF604" s="173"/>
      <c r="AG604" s="173"/>
      <c r="AH604" s="173"/>
      <c r="AI604" s="173"/>
      <c r="AJ604" s="173"/>
      <c r="AK604" s="173"/>
      <c r="AL604" s="173"/>
      <c r="AM604" s="173"/>
      <c r="AN604" s="173"/>
      <c r="AO604" s="173"/>
      <c r="AP604" s="173"/>
    </row>
    <row r="605" spans="6:42"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/>
      <c r="Q605" s="173"/>
      <c r="R605" s="173"/>
      <c r="S605" s="173"/>
      <c r="T605" s="173"/>
      <c r="U605" s="173"/>
      <c r="V605" s="173"/>
      <c r="W605" s="173"/>
      <c r="X605" s="173"/>
      <c r="Y605" s="173"/>
      <c r="Z605" s="173"/>
      <c r="AA605" s="173"/>
      <c r="AB605" s="173"/>
      <c r="AC605" s="173"/>
      <c r="AD605" s="173"/>
      <c r="AE605" s="173"/>
      <c r="AF605" s="173"/>
      <c r="AG605" s="173"/>
      <c r="AH605" s="173"/>
      <c r="AI605" s="173"/>
      <c r="AJ605" s="173"/>
      <c r="AK605" s="173"/>
      <c r="AL605" s="173"/>
      <c r="AM605" s="173"/>
      <c r="AN605" s="173"/>
      <c r="AO605" s="173"/>
      <c r="AP605" s="173"/>
    </row>
    <row r="606" spans="6:42"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/>
      <c r="Q606" s="173"/>
      <c r="R606" s="173"/>
      <c r="S606" s="173"/>
      <c r="T606" s="173"/>
      <c r="U606" s="173"/>
      <c r="V606" s="173"/>
      <c r="W606" s="173"/>
      <c r="X606" s="173"/>
      <c r="Y606" s="173"/>
      <c r="Z606" s="173"/>
      <c r="AA606" s="173"/>
      <c r="AB606" s="173"/>
      <c r="AC606" s="173"/>
      <c r="AD606" s="173"/>
      <c r="AE606" s="173"/>
      <c r="AF606" s="173"/>
      <c r="AG606" s="173"/>
      <c r="AH606" s="173"/>
      <c r="AI606" s="173"/>
      <c r="AJ606" s="173"/>
      <c r="AK606" s="173"/>
      <c r="AL606" s="173"/>
      <c r="AM606" s="173"/>
      <c r="AN606" s="173"/>
      <c r="AO606" s="173"/>
      <c r="AP606" s="173"/>
    </row>
    <row r="607" spans="6:42"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/>
      <c r="Q607" s="173"/>
      <c r="R607" s="173"/>
      <c r="S607" s="173"/>
      <c r="T607" s="173"/>
      <c r="U607" s="173"/>
      <c r="V607" s="173"/>
      <c r="W607" s="173"/>
      <c r="X607" s="173"/>
      <c r="Y607" s="173"/>
      <c r="Z607" s="173"/>
      <c r="AA607" s="173"/>
      <c r="AB607" s="173"/>
      <c r="AC607" s="173"/>
      <c r="AD607" s="173"/>
      <c r="AE607" s="173"/>
      <c r="AF607" s="173"/>
      <c r="AG607" s="173"/>
      <c r="AH607" s="173"/>
      <c r="AI607" s="173"/>
      <c r="AJ607" s="173"/>
      <c r="AK607" s="173"/>
      <c r="AL607" s="173"/>
      <c r="AM607" s="173"/>
      <c r="AN607" s="173"/>
      <c r="AO607" s="173"/>
      <c r="AP607" s="173"/>
    </row>
    <row r="608" spans="6:42"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/>
      <c r="Q608" s="173"/>
      <c r="R608" s="173"/>
      <c r="S608" s="173"/>
      <c r="T608" s="173"/>
      <c r="U608" s="173"/>
      <c r="V608" s="173"/>
      <c r="W608" s="173"/>
      <c r="X608" s="173"/>
      <c r="Y608" s="173"/>
      <c r="Z608" s="173"/>
      <c r="AA608" s="173"/>
      <c r="AB608" s="173"/>
      <c r="AC608" s="173"/>
      <c r="AD608" s="173"/>
      <c r="AE608" s="173"/>
      <c r="AF608" s="173"/>
      <c r="AG608" s="173"/>
      <c r="AH608" s="173"/>
      <c r="AI608" s="173"/>
      <c r="AJ608" s="173"/>
      <c r="AK608" s="173"/>
      <c r="AL608" s="173"/>
      <c r="AM608" s="173"/>
      <c r="AN608" s="173"/>
      <c r="AO608" s="173"/>
      <c r="AP608" s="173"/>
    </row>
    <row r="609" spans="6:42"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/>
      <c r="Q609" s="173"/>
      <c r="R609" s="173"/>
      <c r="S609" s="173"/>
      <c r="T609" s="173"/>
      <c r="U609" s="173"/>
      <c r="V609" s="173"/>
      <c r="W609" s="173"/>
      <c r="X609" s="173"/>
      <c r="Y609" s="173"/>
      <c r="Z609" s="173"/>
      <c r="AA609" s="173"/>
      <c r="AB609" s="173"/>
      <c r="AC609" s="173"/>
      <c r="AD609" s="173"/>
      <c r="AE609" s="173"/>
      <c r="AF609" s="173"/>
      <c r="AG609" s="173"/>
      <c r="AH609" s="173"/>
      <c r="AI609" s="173"/>
      <c r="AJ609" s="173"/>
      <c r="AK609" s="173"/>
      <c r="AL609" s="173"/>
      <c r="AM609" s="173"/>
      <c r="AN609" s="173"/>
      <c r="AO609" s="173"/>
      <c r="AP609" s="173"/>
    </row>
    <row r="610" spans="6:42"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/>
      <c r="Q610" s="173"/>
      <c r="R610" s="173"/>
      <c r="S610" s="173"/>
      <c r="T610" s="173"/>
      <c r="U610" s="173"/>
      <c r="V610" s="173"/>
      <c r="W610" s="173"/>
      <c r="X610" s="173"/>
      <c r="Y610" s="173"/>
      <c r="Z610" s="173"/>
      <c r="AA610" s="173"/>
      <c r="AB610" s="173"/>
      <c r="AC610" s="173"/>
      <c r="AD610" s="173"/>
      <c r="AE610" s="173"/>
      <c r="AF610" s="173"/>
      <c r="AG610" s="173"/>
      <c r="AH610" s="173"/>
      <c r="AI610" s="173"/>
      <c r="AJ610" s="173"/>
      <c r="AK610" s="173"/>
      <c r="AL610" s="173"/>
      <c r="AM610" s="173"/>
      <c r="AN610" s="173"/>
      <c r="AO610" s="173"/>
      <c r="AP610" s="173"/>
    </row>
    <row r="611" spans="6:42"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/>
      <c r="Q611" s="173"/>
      <c r="R611" s="173"/>
      <c r="S611" s="173"/>
      <c r="T611" s="173"/>
      <c r="U611" s="173"/>
      <c r="V611" s="173"/>
      <c r="W611" s="173"/>
      <c r="X611" s="173"/>
      <c r="Y611" s="173"/>
      <c r="Z611" s="173"/>
      <c r="AA611" s="173"/>
      <c r="AB611" s="173"/>
      <c r="AC611" s="173"/>
      <c r="AD611" s="173"/>
      <c r="AE611" s="173"/>
      <c r="AF611" s="173"/>
      <c r="AG611" s="173"/>
      <c r="AH611" s="173"/>
      <c r="AI611" s="173"/>
      <c r="AJ611" s="173"/>
      <c r="AK611" s="173"/>
      <c r="AL611" s="173"/>
      <c r="AM611" s="173"/>
      <c r="AN611" s="173"/>
      <c r="AO611" s="173"/>
      <c r="AP611" s="173"/>
    </row>
    <row r="612" spans="6:42"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/>
      <c r="Q612" s="173"/>
      <c r="R612" s="173"/>
      <c r="S612" s="173"/>
      <c r="T612" s="173"/>
      <c r="U612" s="173"/>
      <c r="V612" s="173"/>
      <c r="W612" s="173"/>
      <c r="X612" s="173"/>
      <c r="Y612" s="173"/>
      <c r="Z612" s="173"/>
      <c r="AA612" s="173"/>
      <c r="AB612" s="173"/>
      <c r="AC612" s="173"/>
      <c r="AD612" s="173"/>
      <c r="AE612" s="173"/>
      <c r="AF612" s="173"/>
      <c r="AG612" s="173"/>
      <c r="AH612" s="173"/>
      <c r="AI612" s="173"/>
      <c r="AJ612" s="173"/>
      <c r="AK612" s="173"/>
      <c r="AL612" s="173"/>
      <c r="AM612" s="173"/>
      <c r="AN612" s="173"/>
      <c r="AO612" s="173"/>
      <c r="AP612" s="173"/>
    </row>
    <row r="613" spans="6:42"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/>
      <c r="Q613" s="173"/>
      <c r="R613" s="173"/>
      <c r="S613" s="173"/>
      <c r="T613" s="173"/>
      <c r="U613" s="173"/>
      <c r="V613" s="173"/>
      <c r="W613" s="173"/>
      <c r="X613" s="173"/>
      <c r="Y613" s="173"/>
      <c r="Z613" s="173"/>
      <c r="AA613" s="173"/>
      <c r="AB613" s="173"/>
      <c r="AC613" s="173"/>
      <c r="AD613" s="173"/>
      <c r="AE613" s="173"/>
      <c r="AF613" s="173"/>
      <c r="AG613" s="173"/>
      <c r="AH613" s="173"/>
      <c r="AI613" s="173"/>
      <c r="AJ613" s="173"/>
      <c r="AK613" s="173"/>
      <c r="AL613" s="173"/>
      <c r="AM613" s="173"/>
      <c r="AN613" s="173"/>
      <c r="AO613" s="173"/>
      <c r="AP613" s="173"/>
    </row>
    <row r="614" spans="6:42"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/>
      <c r="Q614" s="173"/>
      <c r="R614" s="173"/>
      <c r="S614" s="173"/>
      <c r="T614" s="173"/>
      <c r="U614" s="173"/>
      <c r="V614" s="173"/>
      <c r="W614" s="173"/>
      <c r="X614" s="173"/>
      <c r="Y614" s="173"/>
      <c r="Z614" s="173"/>
      <c r="AA614" s="173"/>
      <c r="AB614" s="173"/>
      <c r="AC614" s="173"/>
      <c r="AD614" s="173"/>
      <c r="AE614" s="173"/>
      <c r="AF614" s="173"/>
      <c r="AG614" s="173"/>
      <c r="AH614" s="173"/>
      <c r="AI614" s="173"/>
      <c r="AJ614" s="173"/>
      <c r="AK614" s="173"/>
      <c r="AL614" s="173"/>
      <c r="AM614" s="173"/>
      <c r="AN614" s="173"/>
      <c r="AO614" s="173"/>
      <c r="AP614" s="173"/>
    </row>
    <row r="615" spans="6:42"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/>
      <c r="Q615" s="173"/>
      <c r="R615" s="173"/>
      <c r="S615" s="173"/>
      <c r="T615" s="173"/>
      <c r="U615" s="173"/>
      <c r="V615" s="173"/>
      <c r="W615" s="173"/>
      <c r="X615" s="173"/>
      <c r="Y615" s="173"/>
      <c r="Z615" s="173"/>
      <c r="AA615" s="173"/>
      <c r="AB615" s="173"/>
      <c r="AC615" s="173"/>
      <c r="AD615" s="173"/>
      <c r="AE615" s="173"/>
      <c r="AF615" s="173"/>
      <c r="AG615" s="173"/>
      <c r="AH615" s="173"/>
      <c r="AI615" s="173"/>
      <c r="AJ615" s="173"/>
      <c r="AK615" s="173"/>
      <c r="AL615" s="173"/>
      <c r="AM615" s="173"/>
      <c r="AN615" s="173"/>
      <c r="AO615" s="173"/>
      <c r="AP615" s="173"/>
    </row>
    <row r="616" spans="6:42"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/>
      <c r="Q616" s="173"/>
      <c r="R616" s="173"/>
      <c r="S616" s="173"/>
      <c r="T616" s="173"/>
      <c r="U616" s="173"/>
      <c r="V616" s="173"/>
      <c r="W616" s="173"/>
      <c r="X616" s="173"/>
      <c r="Y616" s="173"/>
      <c r="Z616" s="173"/>
      <c r="AA616" s="173"/>
      <c r="AB616" s="173"/>
      <c r="AC616" s="173"/>
      <c r="AD616" s="173"/>
      <c r="AE616" s="173"/>
      <c r="AF616" s="173"/>
      <c r="AG616" s="173"/>
      <c r="AH616" s="173"/>
      <c r="AI616" s="173"/>
      <c r="AJ616" s="173"/>
      <c r="AK616" s="173"/>
      <c r="AL616" s="173"/>
      <c r="AM616" s="173"/>
      <c r="AN616" s="173"/>
      <c r="AO616" s="173"/>
      <c r="AP616" s="173"/>
    </row>
    <row r="617" spans="6:42"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/>
      <c r="Q617" s="173"/>
      <c r="R617" s="173"/>
      <c r="S617" s="173"/>
      <c r="T617" s="173"/>
      <c r="U617" s="173"/>
      <c r="V617" s="173"/>
      <c r="W617" s="173"/>
      <c r="X617" s="173"/>
      <c r="Y617" s="173"/>
      <c r="Z617" s="173"/>
      <c r="AA617" s="173"/>
      <c r="AB617" s="173"/>
      <c r="AC617" s="173"/>
      <c r="AD617" s="173"/>
      <c r="AE617" s="173"/>
      <c r="AF617" s="173"/>
      <c r="AG617" s="173"/>
      <c r="AH617" s="173"/>
      <c r="AI617" s="173"/>
      <c r="AJ617" s="173"/>
      <c r="AK617" s="173"/>
      <c r="AL617" s="173"/>
      <c r="AM617" s="173"/>
      <c r="AN617" s="173"/>
      <c r="AO617" s="173"/>
      <c r="AP617" s="173"/>
    </row>
    <row r="618" spans="6:42"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/>
      <c r="Q618" s="173"/>
      <c r="R618" s="173"/>
      <c r="S618" s="173"/>
      <c r="T618" s="173"/>
      <c r="U618" s="173"/>
      <c r="V618" s="173"/>
      <c r="W618" s="173"/>
      <c r="X618" s="173"/>
      <c r="Y618" s="173"/>
      <c r="Z618" s="173"/>
      <c r="AA618" s="173"/>
      <c r="AB618" s="173"/>
      <c r="AC618" s="173"/>
      <c r="AD618" s="173"/>
      <c r="AE618" s="173"/>
      <c r="AF618" s="173"/>
      <c r="AG618" s="173"/>
      <c r="AH618" s="173"/>
      <c r="AI618" s="173"/>
      <c r="AJ618" s="173"/>
      <c r="AK618" s="173"/>
      <c r="AL618" s="173"/>
      <c r="AM618" s="173"/>
      <c r="AN618" s="173"/>
      <c r="AO618" s="173"/>
      <c r="AP618" s="173"/>
    </row>
    <row r="619" spans="6:42"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/>
      <c r="Q619" s="173"/>
      <c r="R619" s="173"/>
      <c r="S619" s="173"/>
      <c r="T619" s="173"/>
      <c r="U619" s="173"/>
      <c r="V619" s="173"/>
      <c r="W619" s="173"/>
      <c r="X619" s="173"/>
      <c r="Y619" s="173"/>
      <c r="Z619" s="173"/>
      <c r="AA619" s="173"/>
      <c r="AB619" s="173"/>
      <c r="AC619" s="173"/>
      <c r="AD619" s="173"/>
      <c r="AE619" s="173"/>
      <c r="AF619" s="173"/>
      <c r="AG619" s="173"/>
      <c r="AH619" s="173"/>
      <c r="AI619" s="173"/>
      <c r="AJ619" s="173"/>
      <c r="AK619" s="173"/>
      <c r="AL619" s="173"/>
      <c r="AM619" s="173"/>
      <c r="AN619" s="173"/>
      <c r="AO619" s="173"/>
      <c r="AP619" s="173"/>
    </row>
    <row r="620" spans="6:42"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/>
      <c r="Q620" s="173"/>
      <c r="R620" s="173"/>
      <c r="S620" s="173"/>
      <c r="T620" s="173"/>
      <c r="U620" s="173"/>
      <c r="V620" s="173"/>
      <c r="W620" s="173"/>
      <c r="X620" s="173"/>
      <c r="Y620" s="173"/>
      <c r="Z620" s="173"/>
      <c r="AA620" s="173"/>
      <c r="AB620" s="173"/>
      <c r="AC620" s="173"/>
      <c r="AD620" s="173"/>
      <c r="AE620" s="173"/>
      <c r="AF620" s="173"/>
      <c r="AG620" s="173"/>
      <c r="AH620" s="173"/>
      <c r="AI620" s="173"/>
      <c r="AJ620" s="173"/>
      <c r="AK620" s="173"/>
      <c r="AL620" s="173"/>
      <c r="AM620" s="173"/>
      <c r="AN620" s="173"/>
      <c r="AO620" s="173"/>
      <c r="AP620" s="173"/>
    </row>
    <row r="621" spans="6:42"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/>
      <c r="Q621" s="173"/>
      <c r="R621" s="173"/>
      <c r="S621" s="173"/>
      <c r="T621" s="173"/>
      <c r="U621" s="173"/>
      <c r="V621" s="173"/>
      <c r="W621" s="173"/>
      <c r="X621" s="173"/>
      <c r="Y621" s="173"/>
      <c r="Z621" s="173"/>
      <c r="AA621" s="173"/>
      <c r="AB621" s="173"/>
      <c r="AC621" s="173"/>
      <c r="AD621" s="173"/>
      <c r="AE621" s="173"/>
      <c r="AF621" s="173"/>
      <c r="AG621" s="173"/>
      <c r="AH621" s="173"/>
      <c r="AI621" s="173"/>
      <c r="AJ621" s="173"/>
      <c r="AK621" s="173"/>
      <c r="AL621" s="173"/>
      <c r="AM621" s="173"/>
      <c r="AN621" s="173"/>
      <c r="AO621" s="173"/>
      <c r="AP621" s="173"/>
    </row>
    <row r="622" spans="6:42"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/>
      <c r="Q622" s="173"/>
      <c r="R622" s="173"/>
      <c r="S622" s="173"/>
      <c r="T622" s="173"/>
      <c r="U622" s="173"/>
      <c r="V622" s="173"/>
      <c r="W622" s="173"/>
      <c r="X622" s="173"/>
      <c r="Y622" s="173"/>
      <c r="Z622" s="173"/>
      <c r="AA622" s="173"/>
      <c r="AB622" s="173"/>
      <c r="AC622" s="173"/>
      <c r="AD622" s="173"/>
      <c r="AE622" s="173"/>
      <c r="AF622" s="173"/>
      <c r="AG622" s="173"/>
      <c r="AH622" s="173"/>
      <c r="AI622" s="173"/>
      <c r="AJ622" s="173"/>
      <c r="AK622" s="173"/>
      <c r="AL622" s="173"/>
      <c r="AM622" s="173"/>
      <c r="AN622" s="173"/>
      <c r="AO622" s="173"/>
      <c r="AP622" s="173"/>
    </row>
    <row r="623" spans="6:42"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/>
      <c r="Q623" s="173"/>
      <c r="R623" s="173"/>
      <c r="S623" s="173"/>
      <c r="T623" s="173"/>
      <c r="U623" s="173"/>
      <c r="V623" s="173"/>
      <c r="W623" s="173"/>
      <c r="X623" s="173"/>
      <c r="Y623" s="173"/>
      <c r="Z623" s="173"/>
      <c r="AA623" s="173"/>
      <c r="AB623" s="173"/>
      <c r="AC623" s="173"/>
      <c r="AD623" s="173"/>
      <c r="AE623" s="173"/>
      <c r="AF623" s="173"/>
      <c r="AG623" s="173"/>
      <c r="AH623" s="173"/>
      <c r="AI623" s="173"/>
      <c r="AJ623" s="173"/>
      <c r="AK623" s="173"/>
      <c r="AL623" s="173"/>
      <c r="AM623" s="173"/>
      <c r="AN623" s="173"/>
      <c r="AO623" s="173"/>
      <c r="AP623" s="173"/>
    </row>
    <row r="624" spans="6:42"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/>
      <c r="Q624" s="173"/>
      <c r="R624" s="173"/>
      <c r="S624" s="173"/>
      <c r="T624" s="173"/>
      <c r="U624" s="173"/>
      <c r="V624" s="173"/>
      <c r="W624" s="173"/>
      <c r="X624" s="173"/>
      <c r="Y624" s="173"/>
      <c r="Z624" s="173"/>
      <c r="AA624" s="173"/>
      <c r="AB624" s="173"/>
      <c r="AC624" s="173"/>
      <c r="AD624" s="173"/>
      <c r="AE624" s="173"/>
      <c r="AF624" s="173"/>
      <c r="AG624" s="173"/>
      <c r="AH624" s="173"/>
      <c r="AI624" s="173"/>
      <c r="AJ624" s="173"/>
      <c r="AK624" s="173"/>
      <c r="AL624" s="173"/>
      <c r="AM624" s="173"/>
      <c r="AN624" s="173"/>
      <c r="AO624" s="173"/>
      <c r="AP624" s="173"/>
    </row>
    <row r="625" spans="1:42"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/>
      <c r="Q625" s="173"/>
      <c r="R625" s="173"/>
      <c r="S625" s="173"/>
      <c r="T625" s="173"/>
      <c r="U625" s="173"/>
      <c r="V625" s="173"/>
      <c r="W625" s="173"/>
      <c r="X625" s="173"/>
      <c r="Y625" s="173"/>
      <c r="Z625" s="173"/>
      <c r="AA625" s="173"/>
      <c r="AB625" s="173"/>
      <c r="AC625" s="173"/>
      <c r="AD625" s="173"/>
      <c r="AE625" s="173"/>
      <c r="AF625" s="173"/>
      <c r="AG625" s="173"/>
      <c r="AH625" s="173"/>
      <c r="AI625" s="173"/>
      <c r="AJ625" s="173"/>
      <c r="AK625" s="173"/>
      <c r="AL625" s="173"/>
      <c r="AM625" s="173"/>
      <c r="AN625" s="173"/>
      <c r="AO625" s="173"/>
      <c r="AP625" s="173"/>
    </row>
    <row r="626" spans="1:42"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/>
      <c r="Q626" s="173"/>
      <c r="R626" s="173"/>
      <c r="S626" s="173"/>
      <c r="T626" s="173"/>
      <c r="U626" s="173"/>
      <c r="V626" s="173"/>
      <c r="W626" s="173"/>
      <c r="X626" s="173"/>
      <c r="Y626" s="173"/>
      <c r="Z626" s="173"/>
      <c r="AA626" s="173"/>
      <c r="AB626" s="173"/>
      <c r="AC626" s="173"/>
      <c r="AD626" s="173"/>
      <c r="AE626" s="173"/>
      <c r="AF626" s="173"/>
      <c r="AG626" s="173"/>
      <c r="AH626" s="173"/>
      <c r="AI626" s="173"/>
      <c r="AJ626" s="173"/>
      <c r="AK626" s="173"/>
      <c r="AL626" s="173"/>
      <c r="AM626" s="173"/>
      <c r="AN626" s="173"/>
      <c r="AO626" s="173"/>
      <c r="AP626" s="173"/>
    </row>
    <row r="627" spans="1:42"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/>
      <c r="Q627" s="173"/>
      <c r="R627" s="173"/>
      <c r="S627" s="173"/>
      <c r="T627" s="173"/>
      <c r="U627" s="173"/>
      <c r="V627" s="173"/>
      <c r="W627" s="173"/>
      <c r="X627" s="173"/>
      <c r="Y627" s="173"/>
      <c r="Z627" s="173"/>
      <c r="AA627" s="173"/>
      <c r="AB627" s="173"/>
      <c r="AC627" s="173"/>
      <c r="AD627" s="173"/>
      <c r="AE627" s="173"/>
      <c r="AF627" s="173"/>
      <c r="AG627" s="173"/>
      <c r="AH627" s="173"/>
      <c r="AI627" s="173"/>
      <c r="AJ627" s="173"/>
      <c r="AK627" s="173"/>
      <c r="AL627" s="173"/>
      <c r="AM627" s="173"/>
      <c r="AN627" s="173"/>
      <c r="AO627" s="173"/>
      <c r="AP627" s="173"/>
    </row>
    <row r="628" spans="1:42"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/>
      <c r="Q628" s="173"/>
      <c r="R628" s="173"/>
      <c r="S628" s="173"/>
      <c r="T628" s="173"/>
      <c r="U628" s="173"/>
      <c r="V628" s="173"/>
      <c r="W628" s="173"/>
      <c r="X628" s="173"/>
      <c r="Y628" s="173"/>
      <c r="Z628" s="173"/>
      <c r="AA628" s="173"/>
      <c r="AB628" s="173"/>
      <c r="AC628" s="173"/>
      <c r="AD628" s="173"/>
      <c r="AE628" s="173"/>
      <c r="AF628" s="173"/>
      <c r="AG628" s="173"/>
      <c r="AH628" s="173"/>
      <c r="AI628" s="173"/>
      <c r="AJ628" s="173"/>
      <c r="AK628" s="173"/>
      <c r="AL628" s="173"/>
      <c r="AM628" s="173"/>
      <c r="AN628" s="173"/>
      <c r="AO628" s="173"/>
      <c r="AP628" s="173"/>
    </row>
    <row r="629" spans="1:42"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/>
      <c r="Q629" s="173"/>
      <c r="R629" s="173"/>
      <c r="S629" s="173"/>
      <c r="T629" s="173"/>
      <c r="U629" s="173"/>
      <c r="V629" s="173"/>
      <c r="W629" s="173"/>
      <c r="X629" s="173"/>
      <c r="Y629" s="173"/>
      <c r="Z629" s="173"/>
      <c r="AA629" s="173"/>
      <c r="AB629" s="173"/>
      <c r="AC629" s="173"/>
      <c r="AD629" s="173"/>
      <c r="AE629" s="173"/>
      <c r="AF629" s="173"/>
      <c r="AG629" s="173"/>
      <c r="AH629" s="173"/>
      <c r="AI629" s="173"/>
      <c r="AJ629" s="173"/>
      <c r="AK629" s="173"/>
      <c r="AL629" s="173"/>
      <c r="AM629" s="173"/>
      <c r="AN629" s="173"/>
      <c r="AO629" s="173"/>
      <c r="AP629" s="173"/>
    </row>
    <row r="630" spans="1:42"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/>
      <c r="Q630" s="173"/>
      <c r="R630" s="173"/>
      <c r="S630" s="173"/>
      <c r="T630" s="173"/>
      <c r="U630" s="173"/>
      <c r="V630" s="173"/>
      <c r="W630" s="173"/>
      <c r="X630" s="173"/>
      <c r="Y630" s="173"/>
      <c r="Z630" s="173"/>
      <c r="AA630" s="173"/>
      <c r="AB630" s="173"/>
      <c r="AC630" s="173"/>
      <c r="AD630" s="173"/>
      <c r="AE630" s="173"/>
      <c r="AF630" s="173"/>
      <c r="AG630" s="173"/>
      <c r="AH630" s="173"/>
      <c r="AI630" s="173"/>
      <c r="AJ630" s="173"/>
      <c r="AK630" s="173"/>
      <c r="AL630" s="173"/>
      <c r="AM630" s="173"/>
      <c r="AN630" s="173"/>
      <c r="AO630" s="173"/>
      <c r="AP630" s="173"/>
    </row>
    <row r="631" spans="1:42" ht="12.75" customHeight="1">
      <c r="A631" s="727"/>
      <c r="B631" s="727"/>
      <c r="C631" s="727"/>
      <c r="D631" s="727"/>
      <c r="E631" s="727"/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/>
      <c r="Q631" s="173"/>
      <c r="R631" s="173"/>
      <c r="S631" s="173"/>
      <c r="T631" s="173"/>
      <c r="U631" s="173"/>
      <c r="V631" s="173"/>
      <c r="W631" s="173"/>
      <c r="X631" s="173"/>
      <c r="Y631" s="173"/>
      <c r="Z631" s="173"/>
      <c r="AA631" s="173"/>
      <c r="AB631" s="173"/>
      <c r="AC631" s="173"/>
      <c r="AD631" s="173"/>
      <c r="AE631" s="173"/>
      <c r="AF631" s="173"/>
      <c r="AG631" s="173"/>
      <c r="AH631" s="173"/>
      <c r="AI631" s="173"/>
      <c r="AJ631" s="173"/>
      <c r="AK631" s="173"/>
      <c r="AL631" s="173"/>
      <c r="AM631" s="173"/>
      <c r="AN631" s="173"/>
      <c r="AO631" s="173"/>
      <c r="AP631" s="173"/>
    </row>
    <row r="632" spans="1:42" ht="12.75" customHeight="1"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/>
      <c r="Q632" s="173"/>
      <c r="R632" s="173"/>
      <c r="S632" s="173"/>
      <c r="T632" s="173"/>
      <c r="U632" s="173"/>
      <c r="V632" s="173"/>
      <c r="W632" s="173"/>
      <c r="X632" s="173"/>
      <c r="Y632" s="173"/>
      <c r="Z632" s="173"/>
      <c r="AA632" s="173"/>
      <c r="AB632" s="173"/>
      <c r="AC632" s="173"/>
      <c r="AD632" s="173"/>
      <c r="AE632" s="173"/>
      <c r="AF632" s="173"/>
      <c r="AG632" s="173"/>
      <c r="AH632" s="173"/>
      <c r="AI632" s="173"/>
      <c r="AJ632" s="173"/>
      <c r="AK632" s="173"/>
      <c r="AL632" s="173"/>
      <c r="AM632" s="173"/>
      <c r="AN632" s="173"/>
      <c r="AO632" s="173"/>
      <c r="AP632" s="173"/>
    </row>
    <row r="633" spans="1:42"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/>
      <c r="Q633" s="173"/>
      <c r="R633" s="173"/>
      <c r="S633" s="173"/>
      <c r="T633" s="173"/>
      <c r="U633" s="173"/>
      <c r="V633" s="173"/>
      <c r="W633" s="173"/>
      <c r="X633" s="173"/>
      <c r="Y633" s="173"/>
      <c r="Z633" s="173"/>
      <c r="AA633" s="173"/>
      <c r="AB633" s="173"/>
      <c r="AC633" s="173"/>
      <c r="AD633" s="173"/>
      <c r="AE633" s="173"/>
      <c r="AF633" s="173"/>
      <c r="AG633" s="173"/>
      <c r="AH633" s="173"/>
      <c r="AI633" s="173"/>
      <c r="AJ633" s="173"/>
      <c r="AK633" s="173"/>
      <c r="AL633" s="173"/>
      <c r="AM633" s="173"/>
      <c r="AN633" s="173"/>
      <c r="AO633" s="173"/>
      <c r="AP633" s="173"/>
    </row>
    <row r="634" spans="1:42"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/>
      <c r="Q634" s="173"/>
      <c r="R634" s="173"/>
      <c r="S634" s="173"/>
      <c r="T634" s="173"/>
      <c r="U634" s="173"/>
      <c r="V634" s="173"/>
      <c r="W634" s="173"/>
      <c r="X634" s="173"/>
      <c r="Y634" s="173"/>
      <c r="Z634" s="173"/>
      <c r="AA634" s="173"/>
      <c r="AB634" s="173"/>
      <c r="AC634" s="173"/>
      <c r="AD634" s="173"/>
      <c r="AE634" s="173"/>
      <c r="AF634" s="173"/>
      <c r="AG634" s="173"/>
      <c r="AH634" s="173"/>
      <c r="AI634" s="173"/>
      <c r="AJ634" s="173"/>
      <c r="AK634" s="173"/>
      <c r="AL634" s="173"/>
      <c r="AM634" s="173"/>
      <c r="AN634" s="173"/>
      <c r="AO634" s="173"/>
      <c r="AP634" s="173"/>
    </row>
    <row r="635" spans="1:42"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/>
      <c r="Q635" s="173"/>
      <c r="R635" s="173"/>
      <c r="S635" s="173"/>
      <c r="T635" s="173"/>
      <c r="U635" s="173"/>
      <c r="V635" s="173"/>
      <c r="W635" s="173"/>
      <c r="X635" s="173"/>
      <c r="Y635" s="173"/>
      <c r="Z635" s="173"/>
      <c r="AA635" s="173"/>
      <c r="AB635" s="173"/>
      <c r="AC635" s="173"/>
      <c r="AD635" s="173"/>
      <c r="AE635" s="173"/>
      <c r="AF635" s="173"/>
      <c r="AG635" s="173"/>
      <c r="AH635" s="173"/>
      <c r="AI635" s="173"/>
      <c r="AJ635" s="173"/>
      <c r="AK635" s="173"/>
      <c r="AL635" s="173"/>
      <c r="AM635" s="173"/>
      <c r="AN635" s="173"/>
      <c r="AO635" s="173"/>
      <c r="AP635" s="173"/>
    </row>
    <row r="636" spans="1:42"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/>
      <c r="Q636" s="173"/>
      <c r="R636" s="173"/>
      <c r="S636" s="173"/>
      <c r="T636" s="173"/>
      <c r="U636" s="173"/>
      <c r="V636" s="173"/>
      <c r="W636" s="173"/>
      <c r="X636" s="173"/>
      <c r="Y636" s="173"/>
      <c r="Z636" s="173"/>
      <c r="AA636" s="173"/>
      <c r="AB636" s="173"/>
      <c r="AC636" s="173"/>
      <c r="AD636" s="173"/>
      <c r="AE636" s="173"/>
      <c r="AF636" s="173"/>
      <c r="AG636" s="173"/>
      <c r="AH636" s="173"/>
      <c r="AI636" s="173"/>
      <c r="AJ636" s="173"/>
      <c r="AK636" s="173"/>
      <c r="AL636" s="173"/>
      <c r="AM636" s="173"/>
      <c r="AN636" s="173"/>
      <c r="AO636" s="173"/>
      <c r="AP636" s="173"/>
    </row>
    <row r="637" spans="1:42"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/>
      <c r="Q637" s="173"/>
      <c r="R637" s="173"/>
      <c r="S637" s="173"/>
      <c r="T637" s="173"/>
      <c r="U637" s="173"/>
      <c r="V637" s="173"/>
      <c r="W637" s="173"/>
      <c r="X637" s="173"/>
      <c r="Y637" s="173"/>
      <c r="Z637" s="173"/>
      <c r="AA637" s="173"/>
      <c r="AB637" s="173"/>
      <c r="AC637" s="173"/>
      <c r="AD637" s="173"/>
      <c r="AE637" s="173"/>
      <c r="AF637" s="173"/>
      <c r="AG637" s="173"/>
      <c r="AH637" s="173"/>
      <c r="AI637" s="173"/>
      <c r="AJ637" s="173"/>
      <c r="AK637" s="173"/>
      <c r="AL637" s="173"/>
      <c r="AM637" s="173"/>
      <c r="AN637" s="173"/>
      <c r="AO637" s="173"/>
      <c r="AP637" s="173"/>
    </row>
    <row r="638" spans="1:42">
      <c r="F638" s="692"/>
      <c r="G638" s="692"/>
      <c r="H638" s="692"/>
      <c r="I638" s="692"/>
      <c r="J638" s="692"/>
      <c r="K638" s="692"/>
      <c r="L638" s="692"/>
      <c r="M638" s="692"/>
      <c r="N638" s="692"/>
      <c r="O638" s="692"/>
      <c r="P638" s="692"/>
      <c r="Q638" s="173"/>
      <c r="R638" s="173"/>
      <c r="S638" s="173"/>
      <c r="T638" s="173"/>
      <c r="U638" s="173"/>
      <c r="V638" s="173"/>
      <c r="W638" s="173"/>
      <c r="X638" s="173"/>
      <c r="Y638" s="173"/>
      <c r="Z638" s="173"/>
      <c r="AA638" s="173"/>
      <c r="AB638" s="173"/>
      <c r="AC638" s="173"/>
      <c r="AD638" s="173"/>
      <c r="AE638" s="173"/>
      <c r="AF638" s="173"/>
      <c r="AG638" s="173"/>
      <c r="AH638" s="173"/>
      <c r="AI638" s="173"/>
      <c r="AJ638" s="173"/>
      <c r="AK638" s="173"/>
      <c r="AL638" s="173"/>
      <c r="AM638" s="173"/>
      <c r="AN638" s="173"/>
      <c r="AO638" s="173"/>
      <c r="AP638" s="173"/>
    </row>
    <row r="639" spans="1:42">
      <c r="F639" s="692"/>
      <c r="G639" s="692"/>
      <c r="H639" s="692"/>
      <c r="I639" s="692"/>
      <c r="J639" s="692"/>
      <c r="K639" s="692"/>
      <c r="L639" s="692"/>
      <c r="M639" s="692"/>
      <c r="N639" s="692"/>
      <c r="O639" s="692"/>
      <c r="P639" s="692"/>
      <c r="Q639" s="173"/>
      <c r="R639" s="173"/>
      <c r="S639" s="173"/>
      <c r="T639" s="173"/>
      <c r="U639" s="173"/>
      <c r="V639" s="173"/>
      <c r="W639" s="173"/>
      <c r="X639" s="173"/>
      <c r="Y639" s="173"/>
      <c r="Z639" s="173"/>
      <c r="AA639" s="173"/>
      <c r="AB639" s="173"/>
      <c r="AC639" s="173"/>
      <c r="AD639" s="173"/>
      <c r="AE639" s="173"/>
      <c r="AF639" s="173"/>
      <c r="AG639" s="173"/>
      <c r="AH639" s="173"/>
      <c r="AI639" s="173"/>
      <c r="AJ639" s="173"/>
      <c r="AK639" s="173"/>
      <c r="AL639" s="173"/>
      <c r="AM639" s="173"/>
      <c r="AN639" s="173"/>
      <c r="AO639" s="173"/>
      <c r="AP639" s="173"/>
    </row>
    <row r="640" spans="1:42"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/>
      <c r="Q640" s="173"/>
      <c r="R640" s="173"/>
      <c r="S640" s="173"/>
      <c r="T640" s="173"/>
      <c r="U640" s="173"/>
      <c r="V640" s="173"/>
      <c r="W640" s="173"/>
      <c r="X640" s="173"/>
      <c r="Y640" s="173"/>
      <c r="Z640" s="173"/>
      <c r="AA640" s="173"/>
      <c r="AB640" s="173"/>
      <c r="AC640" s="173"/>
      <c r="AD640" s="173"/>
      <c r="AE640" s="173"/>
      <c r="AF640" s="173"/>
      <c r="AG640" s="173"/>
      <c r="AH640" s="173"/>
      <c r="AI640" s="173"/>
      <c r="AJ640" s="173"/>
      <c r="AK640" s="173"/>
      <c r="AL640" s="173"/>
      <c r="AM640" s="173"/>
      <c r="AN640" s="173"/>
      <c r="AO640" s="173"/>
      <c r="AP640" s="173"/>
    </row>
    <row r="641" spans="6:42"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/>
      <c r="Q641" s="173"/>
      <c r="R641" s="173"/>
      <c r="S641" s="173"/>
      <c r="T641" s="173"/>
      <c r="U641" s="173"/>
      <c r="V641" s="173"/>
      <c r="W641" s="173"/>
      <c r="X641" s="173"/>
      <c r="Y641" s="173"/>
      <c r="Z641" s="173"/>
      <c r="AA641" s="173"/>
      <c r="AB641" s="173"/>
      <c r="AC641" s="173"/>
      <c r="AD641" s="173"/>
      <c r="AE641" s="173"/>
      <c r="AF641" s="173"/>
      <c r="AG641" s="173"/>
      <c r="AH641" s="173"/>
      <c r="AI641" s="173"/>
      <c r="AJ641" s="173"/>
      <c r="AK641" s="173"/>
      <c r="AL641" s="173"/>
      <c r="AM641" s="173"/>
      <c r="AN641" s="173"/>
      <c r="AO641" s="173"/>
      <c r="AP641" s="173"/>
    </row>
    <row r="642" spans="6:42"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173"/>
      <c r="R642" s="173"/>
      <c r="S642" s="173"/>
      <c r="T642" s="173"/>
      <c r="U642" s="173"/>
      <c r="V642" s="173"/>
      <c r="W642" s="173"/>
      <c r="X642" s="173"/>
      <c r="Y642" s="173"/>
      <c r="Z642" s="173"/>
      <c r="AA642" s="173"/>
      <c r="AB642" s="173"/>
      <c r="AC642" s="173"/>
      <c r="AD642" s="173"/>
      <c r="AE642" s="173"/>
      <c r="AF642" s="173"/>
      <c r="AG642" s="173"/>
      <c r="AH642" s="173"/>
      <c r="AI642" s="173"/>
      <c r="AJ642" s="173"/>
      <c r="AK642" s="173"/>
      <c r="AL642" s="173"/>
      <c r="AM642" s="173"/>
      <c r="AN642" s="173"/>
      <c r="AO642" s="173"/>
      <c r="AP642" s="173"/>
    </row>
    <row r="643" spans="6:42">
      <c r="F643" s="692"/>
      <c r="G643" s="692"/>
      <c r="H643" s="692"/>
      <c r="I643" s="692"/>
      <c r="J643" s="692"/>
      <c r="K643" s="692"/>
      <c r="L643" s="692"/>
      <c r="M643" s="692"/>
      <c r="N643" s="692"/>
      <c r="O643" s="692"/>
      <c r="P643" s="692"/>
      <c r="Q643" s="173"/>
      <c r="R643" s="173"/>
      <c r="S643" s="173"/>
      <c r="T643" s="173"/>
      <c r="U643" s="173"/>
      <c r="V643" s="173"/>
      <c r="W643" s="173"/>
      <c r="X643" s="173"/>
      <c r="Y643" s="173"/>
      <c r="Z643" s="173"/>
      <c r="AA643" s="173"/>
      <c r="AB643" s="173"/>
      <c r="AC643" s="173"/>
      <c r="AD643" s="173"/>
      <c r="AE643" s="173"/>
      <c r="AF643" s="173"/>
      <c r="AG643" s="173"/>
      <c r="AH643" s="173"/>
      <c r="AI643" s="173"/>
      <c r="AJ643" s="173"/>
      <c r="AK643" s="173"/>
      <c r="AL643" s="173"/>
      <c r="AM643" s="173"/>
      <c r="AN643" s="173"/>
      <c r="AO643" s="173"/>
      <c r="AP643" s="173"/>
    </row>
    <row r="644" spans="6:42">
      <c r="F644" s="692"/>
      <c r="G644" s="692"/>
      <c r="H644" s="692"/>
      <c r="I644" s="692"/>
      <c r="J644" s="692"/>
      <c r="K644" s="692"/>
      <c r="L644" s="692"/>
      <c r="M644" s="692"/>
      <c r="N644" s="692"/>
      <c r="O644" s="692"/>
      <c r="P644" s="692"/>
      <c r="Q644" s="173"/>
      <c r="R644" s="173"/>
      <c r="S644" s="173"/>
      <c r="T644" s="173"/>
      <c r="U644" s="173"/>
      <c r="V644" s="173"/>
      <c r="W644" s="173"/>
      <c r="X644" s="173"/>
      <c r="Y644" s="173"/>
      <c r="Z644" s="173"/>
      <c r="AA644" s="173"/>
      <c r="AB644" s="173"/>
      <c r="AC644" s="173"/>
      <c r="AD644" s="173"/>
      <c r="AE644" s="173"/>
      <c r="AF644" s="173"/>
      <c r="AG644" s="173"/>
      <c r="AH644" s="173"/>
      <c r="AI644" s="173"/>
      <c r="AJ644" s="173"/>
      <c r="AK644" s="173"/>
      <c r="AL644" s="173"/>
      <c r="AM644" s="173"/>
      <c r="AN644" s="173"/>
      <c r="AO644" s="173"/>
      <c r="AP644" s="173"/>
    </row>
    <row r="645" spans="6:42"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173"/>
      <c r="R645" s="173"/>
      <c r="S645" s="173"/>
      <c r="T645" s="173"/>
      <c r="U645" s="173"/>
      <c r="V645" s="173"/>
      <c r="W645" s="173"/>
      <c r="X645" s="173"/>
      <c r="Y645" s="173"/>
      <c r="Z645" s="173"/>
      <c r="AA645" s="173"/>
      <c r="AB645" s="173"/>
      <c r="AC645" s="173"/>
      <c r="AD645" s="173"/>
      <c r="AE645" s="173"/>
      <c r="AF645" s="173"/>
      <c r="AG645" s="173"/>
      <c r="AH645" s="173"/>
      <c r="AI645" s="173"/>
      <c r="AJ645" s="173"/>
      <c r="AK645" s="173"/>
      <c r="AL645" s="173"/>
      <c r="AM645" s="173"/>
      <c r="AN645" s="173"/>
      <c r="AO645" s="173"/>
      <c r="AP645" s="173"/>
    </row>
    <row r="646" spans="6:42"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173"/>
      <c r="R646" s="173"/>
      <c r="S646" s="173"/>
      <c r="T646" s="173"/>
      <c r="U646" s="173"/>
      <c r="V646" s="173"/>
      <c r="W646" s="173"/>
      <c r="X646" s="173"/>
      <c r="Y646" s="173"/>
      <c r="Z646" s="173"/>
      <c r="AA646" s="173"/>
      <c r="AB646" s="173"/>
      <c r="AC646" s="173"/>
      <c r="AD646" s="173"/>
      <c r="AE646" s="173"/>
      <c r="AF646" s="173"/>
      <c r="AG646" s="173"/>
      <c r="AH646" s="173"/>
      <c r="AI646" s="173"/>
      <c r="AJ646" s="173"/>
      <c r="AK646" s="173"/>
      <c r="AL646" s="173"/>
      <c r="AM646" s="173"/>
      <c r="AN646" s="173"/>
      <c r="AO646" s="173"/>
      <c r="AP646" s="173"/>
    </row>
    <row r="647" spans="6:42"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173"/>
      <c r="R647" s="173"/>
      <c r="S647" s="173"/>
      <c r="T647" s="173"/>
      <c r="U647" s="173"/>
      <c r="V647" s="173"/>
      <c r="W647" s="173"/>
      <c r="X647" s="173"/>
      <c r="Y647" s="173"/>
      <c r="Z647" s="173"/>
      <c r="AA647" s="173"/>
      <c r="AB647" s="173"/>
      <c r="AC647" s="173"/>
      <c r="AD647" s="173"/>
      <c r="AE647" s="173"/>
      <c r="AF647" s="173"/>
      <c r="AG647" s="173"/>
      <c r="AH647" s="173"/>
      <c r="AI647" s="173"/>
      <c r="AJ647" s="173"/>
      <c r="AK647" s="173"/>
      <c r="AL647" s="173"/>
      <c r="AM647" s="173"/>
      <c r="AN647" s="173"/>
      <c r="AO647" s="173"/>
      <c r="AP647" s="173"/>
    </row>
    <row r="648" spans="6:42"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173"/>
      <c r="R648" s="173"/>
      <c r="S648" s="173"/>
      <c r="T648" s="173"/>
      <c r="U648" s="173"/>
      <c r="V648" s="173"/>
      <c r="W648" s="173"/>
      <c r="X648" s="173"/>
      <c r="Y648" s="173"/>
      <c r="Z648" s="173"/>
      <c r="AA648" s="173"/>
      <c r="AB648" s="173"/>
      <c r="AC648" s="173"/>
      <c r="AD648" s="173"/>
      <c r="AE648" s="173"/>
      <c r="AF648" s="173"/>
      <c r="AG648" s="173"/>
      <c r="AH648" s="173"/>
      <c r="AI648" s="173"/>
      <c r="AJ648" s="173"/>
      <c r="AK648" s="173"/>
      <c r="AL648" s="173"/>
      <c r="AM648" s="173"/>
      <c r="AN648" s="173"/>
      <c r="AO648" s="173"/>
      <c r="AP648" s="173"/>
    </row>
    <row r="649" spans="6:42"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173"/>
      <c r="R649" s="173"/>
      <c r="S649" s="173"/>
      <c r="T649" s="173"/>
      <c r="U649" s="173"/>
      <c r="V649" s="173"/>
      <c r="W649" s="173"/>
      <c r="X649" s="173"/>
      <c r="Y649" s="173"/>
      <c r="Z649" s="173"/>
      <c r="AA649" s="173"/>
      <c r="AB649" s="173"/>
      <c r="AC649" s="173"/>
      <c r="AD649" s="173"/>
      <c r="AE649" s="173"/>
      <c r="AF649" s="173"/>
      <c r="AG649" s="173"/>
      <c r="AH649" s="173"/>
      <c r="AI649" s="173"/>
      <c r="AJ649" s="173"/>
      <c r="AK649" s="173"/>
      <c r="AL649" s="173"/>
      <c r="AM649" s="173"/>
      <c r="AN649" s="173"/>
      <c r="AO649" s="173"/>
      <c r="AP649" s="173"/>
    </row>
    <row r="650" spans="6:42">
      <c r="F650" s="692"/>
      <c r="G650" s="692"/>
      <c r="H650" s="692"/>
      <c r="I650" s="692"/>
      <c r="J650" s="692"/>
      <c r="K650" s="692"/>
      <c r="L650" s="692"/>
      <c r="M650" s="692"/>
      <c r="N650" s="692"/>
      <c r="O650" s="692"/>
      <c r="P650" s="692"/>
      <c r="Q650" s="173"/>
      <c r="R650" s="173"/>
      <c r="S650" s="173"/>
      <c r="T650" s="173"/>
      <c r="U650" s="173"/>
      <c r="V650" s="173"/>
      <c r="W650" s="173"/>
      <c r="X650" s="173"/>
      <c r="Y650" s="173"/>
      <c r="Z650" s="173"/>
      <c r="AA650" s="173"/>
      <c r="AB650" s="173"/>
      <c r="AC650" s="173"/>
      <c r="AD650" s="173"/>
      <c r="AE650" s="173"/>
      <c r="AF650" s="173"/>
      <c r="AG650" s="173"/>
      <c r="AH650" s="173"/>
      <c r="AI650" s="173"/>
      <c r="AJ650" s="173"/>
      <c r="AK650" s="173"/>
      <c r="AL650" s="173"/>
      <c r="AM650" s="173"/>
      <c r="AN650" s="173"/>
      <c r="AO650" s="173"/>
      <c r="AP650" s="173"/>
    </row>
    <row r="651" spans="6:42">
      <c r="F651" s="692"/>
      <c r="G651" s="692"/>
      <c r="H651" s="692"/>
      <c r="I651" s="692"/>
      <c r="J651" s="692"/>
      <c r="K651" s="692"/>
      <c r="L651" s="692"/>
      <c r="M651" s="692"/>
      <c r="N651" s="692"/>
      <c r="O651" s="692"/>
      <c r="P651" s="692"/>
      <c r="Q651" s="173"/>
      <c r="R651" s="173"/>
      <c r="S651" s="173"/>
      <c r="T651" s="173"/>
      <c r="U651" s="173"/>
      <c r="V651" s="173"/>
      <c r="W651" s="173"/>
      <c r="X651" s="173"/>
      <c r="Y651" s="173"/>
      <c r="Z651" s="173"/>
      <c r="AA651" s="173"/>
      <c r="AB651" s="173"/>
      <c r="AC651" s="173"/>
      <c r="AD651" s="173"/>
      <c r="AE651" s="173"/>
      <c r="AF651" s="173"/>
      <c r="AG651" s="173"/>
      <c r="AH651" s="173"/>
      <c r="AI651" s="173"/>
      <c r="AJ651" s="173"/>
      <c r="AK651" s="173"/>
      <c r="AL651" s="173"/>
      <c r="AM651" s="173"/>
      <c r="AN651" s="173"/>
      <c r="AO651" s="173"/>
      <c r="AP651" s="173"/>
    </row>
    <row r="652" spans="6:42"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173"/>
      <c r="R652" s="173"/>
      <c r="S652" s="173"/>
      <c r="T652" s="173"/>
      <c r="U652" s="173"/>
      <c r="V652" s="173"/>
      <c r="W652" s="173"/>
      <c r="X652" s="173"/>
      <c r="Y652" s="173"/>
      <c r="Z652" s="173"/>
      <c r="AA652" s="173"/>
      <c r="AB652" s="173"/>
      <c r="AC652" s="173"/>
      <c r="AD652" s="173"/>
      <c r="AE652" s="173"/>
      <c r="AF652" s="173"/>
      <c r="AG652" s="173"/>
      <c r="AH652" s="173"/>
      <c r="AI652" s="173"/>
      <c r="AJ652" s="173"/>
      <c r="AK652" s="173"/>
      <c r="AL652" s="173"/>
      <c r="AM652" s="173"/>
      <c r="AN652" s="173"/>
      <c r="AO652" s="173"/>
      <c r="AP652" s="173"/>
    </row>
    <row r="653" spans="6:42"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173"/>
      <c r="R653" s="173"/>
      <c r="S653" s="173"/>
      <c r="T653" s="173"/>
      <c r="U653" s="173"/>
      <c r="V653" s="173"/>
      <c r="W653" s="173"/>
      <c r="X653" s="173"/>
      <c r="Y653" s="173"/>
      <c r="Z653" s="173"/>
      <c r="AA653" s="173"/>
      <c r="AB653" s="173"/>
      <c r="AC653" s="173"/>
      <c r="AD653" s="173"/>
      <c r="AE653" s="173"/>
      <c r="AF653" s="173"/>
      <c r="AG653" s="173"/>
      <c r="AH653" s="173"/>
      <c r="AI653" s="173"/>
      <c r="AJ653" s="173"/>
      <c r="AK653" s="173"/>
      <c r="AL653" s="173"/>
      <c r="AM653" s="173"/>
      <c r="AN653" s="173"/>
      <c r="AO653" s="173"/>
      <c r="AP653" s="173"/>
    </row>
    <row r="654" spans="6:42"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173"/>
      <c r="R654" s="173"/>
      <c r="S654" s="173"/>
      <c r="T654" s="173"/>
      <c r="U654" s="173"/>
      <c r="V654" s="173"/>
      <c r="W654" s="173"/>
      <c r="X654" s="173"/>
      <c r="Y654" s="173"/>
      <c r="Z654" s="173"/>
      <c r="AA654" s="173"/>
      <c r="AB654" s="173"/>
      <c r="AC654" s="173"/>
      <c r="AD654" s="173"/>
      <c r="AE654" s="173"/>
      <c r="AF654" s="173"/>
      <c r="AG654" s="173"/>
      <c r="AH654" s="173"/>
      <c r="AI654" s="173"/>
      <c r="AJ654" s="173"/>
      <c r="AK654" s="173"/>
      <c r="AL654" s="173"/>
      <c r="AM654" s="173"/>
      <c r="AN654" s="173"/>
      <c r="AO654" s="173"/>
      <c r="AP654" s="173"/>
    </row>
    <row r="655" spans="6:42">
      <c r="F655" s="692"/>
      <c r="G655" s="692"/>
      <c r="H655" s="692"/>
      <c r="I655" s="692"/>
      <c r="J655" s="692"/>
      <c r="K655" s="692"/>
      <c r="L655" s="692"/>
      <c r="M655" s="692"/>
      <c r="N655" s="692"/>
      <c r="O655" s="692"/>
      <c r="P655" s="692"/>
      <c r="Q655" s="173"/>
      <c r="R655" s="173"/>
      <c r="S655" s="173"/>
      <c r="T655" s="173"/>
      <c r="U655" s="173"/>
      <c r="V655" s="173"/>
      <c r="W655" s="173"/>
      <c r="X655" s="173"/>
      <c r="Y655" s="173"/>
      <c r="Z655" s="173"/>
      <c r="AA655" s="173"/>
      <c r="AB655" s="173"/>
      <c r="AC655" s="173"/>
      <c r="AD655" s="173"/>
      <c r="AE655" s="173"/>
      <c r="AF655" s="173"/>
      <c r="AG655" s="173"/>
      <c r="AH655" s="173"/>
      <c r="AI655" s="173"/>
      <c r="AJ655" s="173"/>
      <c r="AK655" s="173"/>
      <c r="AL655" s="173"/>
      <c r="AM655" s="173"/>
      <c r="AN655" s="173"/>
      <c r="AO655" s="173"/>
      <c r="AP655" s="173"/>
    </row>
    <row r="656" spans="6:42">
      <c r="F656" s="692"/>
      <c r="G656" s="692"/>
      <c r="H656" s="692"/>
      <c r="I656" s="692"/>
      <c r="J656" s="692"/>
      <c r="K656" s="692"/>
      <c r="L656" s="692"/>
      <c r="M656" s="692"/>
      <c r="N656" s="692"/>
      <c r="O656" s="692"/>
      <c r="P656" s="692"/>
      <c r="Q656" s="173"/>
      <c r="R656" s="173"/>
      <c r="S656" s="173"/>
      <c r="T656" s="173"/>
      <c r="U656" s="173"/>
      <c r="V656" s="173"/>
      <c r="W656" s="173"/>
      <c r="X656" s="173"/>
      <c r="Y656" s="173"/>
      <c r="Z656" s="173"/>
      <c r="AA656" s="173"/>
      <c r="AB656" s="173"/>
      <c r="AC656" s="173"/>
      <c r="AD656" s="173"/>
      <c r="AE656" s="173"/>
      <c r="AF656" s="173"/>
      <c r="AG656" s="173"/>
      <c r="AH656" s="173"/>
      <c r="AI656" s="173"/>
      <c r="AJ656" s="173"/>
      <c r="AK656" s="173"/>
      <c r="AL656" s="173"/>
      <c r="AM656" s="173"/>
      <c r="AN656" s="173"/>
      <c r="AO656" s="173"/>
      <c r="AP656" s="173"/>
    </row>
    <row r="657" spans="6:42"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173"/>
      <c r="R657" s="173"/>
      <c r="S657" s="173"/>
      <c r="T657" s="173"/>
      <c r="U657" s="173"/>
      <c r="V657" s="173"/>
      <c r="W657" s="173"/>
      <c r="X657" s="173"/>
      <c r="Y657" s="173"/>
      <c r="Z657" s="173"/>
      <c r="AA657" s="173"/>
      <c r="AB657" s="173"/>
      <c r="AC657" s="173"/>
      <c r="AD657" s="173"/>
      <c r="AE657" s="173"/>
      <c r="AF657" s="173"/>
      <c r="AG657" s="173"/>
      <c r="AH657" s="173"/>
      <c r="AI657" s="173"/>
      <c r="AJ657" s="173"/>
      <c r="AK657" s="173"/>
      <c r="AL657" s="173"/>
      <c r="AM657" s="173"/>
      <c r="AN657" s="173"/>
      <c r="AO657" s="173"/>
      <c r="AP657" s="173"/>
    </row>
    <row r="658" spans="6:42"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173"/>
      <c r="R658" s="173"/>
      <c r="S658" s="173"/>
      <c r="T658" s="173"/>
      <c r="U658" s="173"/>
      <c r="V658" s="173"/>
      <c r="W658" s="173"/>
      <c r="X658" s="173"/>
      <c r="Y658" s="173"/>
      <c r="Z658" s="173"/>
      <c r="AA658" s="173"/>
      <c r="AB658" s="173"/>
      <c r="AC658" s="173"/>
      <c r="AD658" s="173"/>
      <c r="AE658" s="173"/>
      <c r="AF658" s="173"/>
      <c r="AG658" s="173"/>
      <c r="AH658" s="173"/>
      <c r="AI658" s="173"/>
      <c r="AJ658" s="173"/>
      <c r="AK658" s="173"/>
      <c r="AL658" s="173"/>
      <c r="AM658" s="173"/>
      <c r="AN658" s="173"/>
      <c r="AO658" s="173"/>
      <c r="AP658" s="173"/>
    </row>
    <row r="659" spans="6:42">
      <c r="F659" s="692"/>
      <c r="G659" s="692"/>
      <c r="H659" s="692"/>
      <c r="I659" s="692"/>
      <c r="J659" s="692"/>
      <c r="K659" s="692"/>
      <c r="L659" s="692"/>
      <c r="M659" s="692"/>
      <c r="N659" s="692"/>
      <c r="O659" s="692"/>
      <c r="P659" s="692"/>
      <c r="Q659" s="173"/>
      <c r="R659" s="173"/>
      <c r="S659" s="173"/>
      <c r="T659" s="173"/>
      <c r="U659" s="173"/>
      <c r="V659" s="173"/>
      <c r="W659" s="173"/>
      <c r="X659" s="173"/>
      <c r="Y659" s="173"/>
      <c r="Z659" s="173"/>
      <c r="AA659" s="173"/>
      <c r="AB659" s="173"/>
      <c r="AC659" s="173"/>
      <c r="AD659" s="173"/>
      <c r="AE659" s="173"/>
      <c r="AF659" s="173"/>
      <c r="AG659" s="173"/>
      <c r="AH659" s="173"/>
      <c r="AI659" s="173"/>
      <c r="AJ659" s="173"/>
      <c r="AK659" s="173"/>
      <c r="AL659" s="173"/>
      <c r="AM659" s="173"/>
      <c r="AN659" s="173"/>
      <c r="AO659" s="173"/>
      <c r="AP659" s="173"/>
    </row>
    <row r="660" spans="6:42">
      <c r="F660" s="692"/>
      <c r="G660" s="692"/>
      <c r="H660" s="692"/>
      <c r="I660" s="692"/>
      <c r="J660" s="692"/>
      <c r="K660" s="692"/>
      <c r="L660" s="692"/>
      <c r="M660" s="692"/>
      <c r="N660" s="692"/>
      <c r="O660" s="692"/>
      <c r="P660" s="692"/>
      <c r="Q660" s="173"/>
      <c r="R660" s="173"/>
      <c r="S660" s="173"/>
      <c r="T660" s="173"/>
      <c r="U660" s="173"/>
      <c r="V660" s="173"/>
      <c r="W660" s="173"/>
      <c r="X660" s="173"/>
      <c r="Y660" s="173"/>
      <c r="Z660" s="173"/>
      <c r="AA660" s="173"/>
      <c r="AB660" s="173"/>
      <c r="AC660" s="173"/>
      <c r="AD660" s="173"/>
      <c r="AE660" s="173"/>
      <c r="AF660" s="173"/>
      <c r="AG660" s="173"/>
      <c r="AH660" s="173"/>
      <c r="AI660" s="173"/>
      <c r="AJ660" s="173"/>
      <c r="AK660" s="173"/>
      <c r="AL660" s="173"/>
      <c r="AM660" s="173"/>
      <c r="AN660" s="173"/>
      <c r="AO660" s="173"/>
      <c r="AP660" s="173"/>
    </row>
    <row r="661" spans="6:42">
      <c r="F661" s="692"/>
      <c r="G661" s="692"/>
      <c r="H661" s="692"/>
      <c r="I661" s="692"/>
      <c r="J661" s="692"/>
      <c r="K661" s="692"/>
      <c r="L661" s="692"/>
      <c r="M661" s="692"/>
      <c r="N661" s="692"/>
      <c r="O661" s="692"/>
      <c r="P661" s="692"/>
      <c r="Q661" s="173"/>
      <c r="R661" s="173"/>
      <c r="S661" s="173"/>
      <c r="T661" s="173"/>
      <c r="U661" s="173"/>
      <c r="V661" s="173"/>
      <c r="W661" s="173"/>
      <c r="X661" s="173"/>
      <c r="Y661" s="173"/>
      <c r="Z661" s="173"/>
      <c r="AA661" s="173"/>
      <c r="AB661" s="173"/>
      <c r="AC661" s="173"/>
      <c r="AD661" s="173"/>
      <c r="AE661" s="173"/>
      <c r="AF661" s="173"/>
      <c r="AG661" s="173"/>
      <c r="AH661" s="173"/>
      <c r="AI661" s="173"/>
      <c r="AJ661" s="173"/>
      <c r="AK661" s="173"/>
      <c r="AL661" s="173"/>
      <c r="AM661" s="173"/>
      <c r="AN661" s="173"/>
      <c r="AO661" s="173"/>
      <c r="AP661" s="173"/>
    </row>
    <row r="662" spans="6:42">
      <c r="F662" s="692"/>
      <c r="G662" s="692"/>
      <c r="H662" s="692"/>
      <c r="I662" s="692"/>
      <c r="J662" s="692"/>
      <c r="K662" s="692"/>
      <c r="L662" s="692"/>
      <c r="M662" s="692"/>
      <c r="N662" s="692"/>
      <c r="O662" s="692"/>
      <c r="P662" s="692"/>
      <c r="Q662" s="173"/>
      <c r="R662" s="173"/>
      <c r="S662" s="173"/>
      <c r="T662" s="173"/>
      <c r="U662" s="173"/>
      <c r="V662" s="173"/>
      <c r="W662" s="173"/>
      <c r="X662" s="173"/>
      <c r="Y662" s="173"/>
      <c r="Z662" s="173"/>
      <c r="AA662" s="173"/>
      <c r="AB662" s="173"/>
      <c r="AC662" s="173"/>
      <c r="AD662" s="173"/>
      <c r="AE662" s="173"/>
      <c r="AF662" s="173"/>
      <c r="AG662" s="173"/>
      <c r="AH662" s="173"/>
      <c r="AI662" s="173"/>
      <c r="AJ662" s="173"/>
      <c r="AK662" s="173"/>
      <c r="AL662" s="173"/>
      <c r="AM662" s="173"/>
      <c r="AN662" s="173"/>
      <c r="AO662" s="173"/>
      <c r="AP662" s="173"/>
    </row>
    <row r="663" spans="6:42">
      <c r="F663" s="692"/>
      <c r="G663" s="692"/>
      <c r="H663" s="692"/>
      <c r="I663" s="692"/>
      <c r="J663" s="692"/>
      <c r="K663" s="692"/>
      <c r="L663" s="692"/>
      <c r="M663" s="692"/>
      <c r="N663" s="692"/>
      <c r="O663" s="692"/>
      <c r="P663" s="692"/>
      <c r="Q663" s="173"/>
      <c r="R663" s="173"/>
      <c r="S663" s="173"/>
      <c r="T663" s="173"/>
      <c r="U663" s="173"/>
      <c r="V663" s="173"/>
      <c r="W663" s="173"/>
      <c r="X663" s="173"/>
      <c r="Y663" s="173"/>
      <c r="Z663" s="173"/>
      <c r="AA663" s="173"/>
      <c r="AB663" s="173"/>
      <c r="AC663" s="173"/>
      <c r="AD663" s="173"/>
      <c r="AE663" s="173"/>
      <c r="AF663" s="173"/>
      <c r="AG663" s="173"/>
      <c r="AH663" s="173"/>
      <c r="AI663" s="173"/>
      <c r="AJ663" s="173"/>
      <c r="AK663" s="173"/>
      <c r="AL663" s="173"/>
      <c r="AM663" s="173"/>
      <c r="AN663" s="173"/>
      <c r="AO663" s="173"/>
      <c r="AP663" s="173"/>
    </row>
    <row r="664" spans="6:42">
      <c r="F664" s="692"/>
      <c r="G664" s="692"/>
      <c r="H664" s="692"/>
      <c r="I664" s="692"/>
      <c r="J664" s="692"/>
      <c r="K664" s="692"/>
      <c r="L664" s="692"/>
      <c r="M664" s="692"/>
      <c r="N664" s="692"/>
      <c r="O664" s="692"/>
      <c r="P664" s="692"/>
      <c r="Q664" s="173"/>
      <c r="R664" s="173"/>
      <c r="S664" s="173"/>
      <c r="T664" s="173"/>
      <c r="U664" s="173"/>
      <c r="V664" s="173"/>
      <c r="W664" s="173"/>
      <c r="X664" s="173"/>
      <c r="Y664" s="173"/>
      <c r="Z664" s="173"/>
      <c r="AA664" s="173"/>
      <c r="AB664" s="173"/>
      <c r="AC664" s="173"/>
      <c r="AD664" s="173"/>
      <c r="AE664" s="173"/>
      <c r="AF664" s="173"/>
      <c r="AG664" s="173"/>
      <c r="AH664" s="173"/>
      <c r="AI664" s="173"/>
      <c r="AJ664" s="173"/>
      <c r="AK664" s="173"/>
      <c r="AL664" s="173"/>
      <c r="AM664" s="173"/>
      <c r="AN664" s="173"/>
      <c r="AO664" s="173"/>
      <c r="AP664" s="173"/>
    </row>
    <row r="665" spans="6:42">
      <c r="F665" s="692"/>
      <c r="G665" s="692"/>
      <c r="H665" s="692"/>
      <c r="I665" s="692"/>
      <c r="J665" s="692"/>
      <c r="K665" s="692"/>
      <c r="L665" s="692"/>
      <c r="M665" s="692"/>
      <c r="N665" s="692"/>
      <c r="O665" s="692"/>
      <c r="P665" s="692"/>
      <c r="Q665" s="173"/>
      <c r="R665" s="173"/>
      <c r="S665" s="173"/>
      <c r="T665" s="173"/>
      <c r="U665" s="173"/>
      <c r="V665" s="173"/>
      <c r="W665" s="173"/>
      <c r="X665" s="173"/>
      <c r="Y665" s="173"/>
      <c r="Z665" s="173"/>
      <c r="AA665" s="173"/>
      <c r="AB665" s="173"/>
      <c r="AC665" s="173"/>
      <c r="AD665" s="173"/>
      <c r="AE665" s="173"/>
      <c r="AF665" s="173"/>
      <c r="AG665" s="173"/>
      <c r="AH665" s="173"/>
      <c r="AI665" s="173"/>
      <c r="AJ665" s="173"/>
      <c r="AK665" s="173"/>
      <c r="AL665" s="173"/>
      <c r="AM665" s="173"/>
      <c r="AN665" s="173"/>
      <c r="AO665" s="173"/>
      <c r="AP665" s="173"/>
    </row>
    <row r="666" spans="6:42">
      <c r="F666" s="692"/>
      <c r="G666" s="692"/>
      <c r="H666" s="692"/>
      <c r="I666" s="692"/>
      <c r="J666" s="692"/>
      <c r="K666" s="692"/>
      <c r="L666" s="692"/>
      <c r="M666" s="692"/>
      <c r="N666" s="692"/>
      <c r="O666" s="692"/>
      <c r="P666" s="692"/>
      <c r="Q666" s="173"/>
      <c r="R666" s="173"/>
      <c r="S666" s="173"/>
      <c r="T666" s="173"/>
      <c r="U666" s="173"/>
      <c r="V666" s="173"/>
      <c r="W666" s="173"/>
      <c r="X666" s="173"/>
      <c r="Y666" s="173"/>
      <c r="Z666" s="173"/>
      <c r="AA666" s="173"/>
      <c r="AB666" s="173"/>
      <c r="AC666" s="173"/>
      <c r="AD666" s="173"/>
      <c r="AE666" s="173"/>
      <c r="AF666" s="173"/>
      <c r="AG666" s="173"/>
      <c r="AH666" s="173"/>
      <c r="AI666" s="173"/>
      <c r="AJ666" s="173"/>
      <c r="AK666" s="173"/>
      <c r="AL666" s="173"/>
      <c r="AM666" s="173"/>
      <c r="AN666" s="173"/>
      <c r="AO666" s="173"/>
      <c r="AP666" s="173"/>
    </row>
    <row r="667" spans="6:42">
      <c r="F667" s="692"/>
      <c r="G667" s="692"/>
      <c r="H667" s="692"/>
      <c r="I667" s="692"/>
      <c r="J667" s="692"/>
      <c r="K667" s="692"/>
      <c r="L667" s="692"/>
      <c r="M667" s="692"/>
      <c r="N667" s="692"/>
      <c r="O667" s="692"/>
      <c r="P667" s="692"/>
      <c r="Q667" s="173"/>
      <c r="R667" s="173"/>
      <c r="S667" s="173"/>
      <c r="T667" s="173"/>
      <c r="U667" s="173"/>
      <c r="V667" s="173"/>
      <c r="W667" s="173"/>
      <c r="X667" s="173"/>
      <c r="Y667" s="173"/>
      <c r="Z667" s="173"/>
      <c r="AA667" s="173"/>
      <c r="AB667" s="173"/>
      <c r="AC667" s="173"/>
      <c r="AD667" s="173"/>
      <c r="AE667" s="173"/>
      <c r="AF667" s="173"/>
      <c r="AG667" s="173"/>
      <c r="AH667" s="173"/>
      <c r="AI667" s="173"/>
      <c r="AJ667" s="173"/>
      <c r="AK667" s="173"/>
      <c r="AL667" s="173"/>
      <c r="AM667" s="173"/>
      <c r="AN667" s="173"/>
      <c r="AO667" s="173"/>
      <c r="AP667" s="173"/>
    </row>
    <row r="668" spans="6:42">
      <c r="F668" s="692"/>
      <c r="G668" s="692"/>
      <c r="H668" s="692"/>
      <c r="I668" s="692"/>
      <c r="J668" s="692"/>
      <c r="K668" s="692"/>
      <c r="L668" s="692"/>
      <c r="M668" s="692"/>
      <c r="N668" s="692"/>
      <c r="O668" s="692"/>
      <c r="P668" s="692"/>
      <c r="Q668" s="173"/>
      <c r="R668" s="173"/>
      <c r="S668" s="173"/>
      <c r="T668" s="173"/>
      <c r="U668" s="173"/>
      <c r="V668" s="173"/>
      <c r="W668" s="173"/>
      <c r="X668" s="173"/>
      <c r="Y668" s="173"/>
      <c r="Z668" s="173"/>
      <c r="AA668" s="173"/>
      <c r="AB668" s="173"/>
      <c r="AC668" s="173"/>
      <c r="AD668" s="173"/>
      <c r="AE668" s="173"/>
      <c r="AF668" s="173"/>
      <c r="AG668" s="173"/>
      <c r="AH668" s="173"/>
      <c r="AI668" s="173"/>
      <c r="AJ668" s="173"/>
      <c r="AK668" s="173"/>
      <c r="AL668" s="173"/>
      <c r="AM668" s="173"/>
      <c r="AN668" s="173"/>
      <c r="AO668" s="173"/>
      <c r="AP668" s="173"/>
    </row>
    <row r="669" spans="6:42">
      <c r="F669" s="692"/>
      <c r="G669" s="692"/>
      <c r="H669" s="692"/>
      <c r="I669" s="692"/>
      <c r="J669" s="692"/>
      <c r="K669" s="692"/>
      <c r="L669" s="692"/>
      <c r="M669" s="692"/>
      <c r="N669" s="692"/>
      <c r="O669" s="692"/>
      <c r="P669" s="692"/>
      <c r="Q669" s="173"/>
      <c r="R669" s="173"/>
      <c r="S669" s="173"/>
      <c r="T669" s="173"/>
      <c r="U669" s="173"/>
      <c r="V669" s="173"/>
      <c r="W669" s="173"/>
      <c r="X669" s="173"/>
      <c r="Y669" s="173"/>
      <c r="Z669" s="173"/>
      <c r="AA669" s="173"/>
      <c r="AB669" s="173"/>
      <c r="AC669" s="173"/>
      <c r="AD669" s="173"/>
      <c r="AE669" s="173"/>
      <c r="AF669" s="173"/>
      <c r="AG669" s="173"/>
      <c r="AH669" s="173"/>
      <c r="AI669" s="173"/>
      <c r="AJ669" s="173"/>
      <c r="AK669" s="173"/>
      <c r="AL669" s="173"/>
      <c r="AM669" s="173"/>
      <c r="AN669" s="173"/>
      <c r="AO669" s="173"/>
      <c r="AP669" s="173"/>
    </row>
    <row r="670" spans="6:42">
      <c r="F670" s="692"/>
      <c r="G670" s="692"/>
      <c r="H670" s="692"/>
      <c r="I670" s="692"/>
      <c r="J670" s="692"/>
      <c r="K670" s="692"/>
      <c r="L670" s="692"/>
      <c r="M670" s="692"/>
      <c r="N670" s="692"/>
      <c r="O670" s="692"/>
      <c r="P670" s="692"/>
      <c r="Q670" s="173"/>
      <c r="R670" s="173"/>
      <c r="S670" s="173"/>
      <c r="T670" s="173"/>
      <c r="U670" s="173"/>
      <c r="V670" s="173"/>
      <c r="W670" s="173"/>
      <c r="X670" s="173"/>
      <c r="Y670" s="173"/>
      <c r="Z670" s="173"/>
      <c r="AA670" s="173"/>
      <c r="AB670" s="173"/>
      <c r="AC670" s="173"/>
      <c r="AD670" s="173"/>
      <c r="AE670" s="173"/>
      <c r="AF670" s="173"/>
      <c r="AG670" s="173"/>
      <c r="AH670" s="173"/>
      <c r="AI670" s="173"/>
      <c r="AJ670" s="173"/>
      <c r="AK670" s="173"/>
      <c r="AL670" s="173"/>
      <c r="AM670" s="173"/>
      <c r="AN670" s="173"/>
      <c r="AO670" s="173"/>
      <c r="AP670" s="173"/>
    </row>
    <row r="671" spans="6:42">
      <c r="F671" s="692"/>
      <c r="G671" s="692"/>
      <c r="H671" s="692"/>
      <c r="I671" s="692"/>
      <c r="J671" s="692"/>
      <c r="K671" s="692"/>
      <c r="L671" s="692"/>
      <c r="M671" s="692"/>
      <c r="N671" s="692"/>
      <c r="O671" s="692"/>
      <c r="P671" s="692"/>
      <c r="Q671" s="173"/>
      <c r="R671" s="173"/>
      <c r="S671" s="173"/>
      <c r="T671" s="173"/>
      <c r="U671" s="173"/>
      <c r="V671" s="173"/>
      <c r="W671" s="173"/>
      <c r="X671" s="173"/>
      <c r="Y671" s="173"/>
      <c r="Z671" s="173"/>
      <c r="AA671" s="173"/>
      <c r="AB671" s="173"/>
      <c r="AC671" s="173"/>
      <c r="AD671" s="173"/>
      <c r="AE671" s="173"/>
      <c r="AF671" s="173"/>
      <c r="AG671" s="173"/>
      <c r="AH671" s="173"/>
      <c r="AI671" s="173"/>
      <c r="AJ671" s="173"/>
      <c r="AK671" s="173"/>
      <c r="AL671" s="173"/>
      <c r="AM671" s="173"/>
      <c r="AN671" s="173"/>
      <c r="AO671" s="173"/>
      <c r="AP671" s="173"/>
    </row>
    <row r="672" spans="6:42">
      <c r="F672" s="692"/>
      <c r="G672" s="692"/>
      <c r="H672" s="692"/>
      <c r="I672" s="692"/>
      <c r="J672" s="692"/>
      <c r="K672" s="692"/>
      <c r="L672" s="692"/>
      <c r="M672" s="692"/>
      <c r="N672" s="692"/>
      <c r="O672" s="692"/>
      <c r="P672" s="692"/>
      <c r="Q672" s="173"/>
      <c r="R672" s="173"/>
      <c r="S672" s="173"/>
      <c r="T672" s="173"/>
      <c r="U672" s="173"/>
      <c r="V672" s="173"/>
      <c r="W672" s="173"/>
      <c r="X672" s="173"/>
      <c r="Y672" s="173"/>
      <c r="Z672" s="173"/>
      <c r="AA672" s="173"/>
      <c r="AB672" s="173"/>
      <c r="AC672" s="173"/>
      <c r="AD672" s="173"/>
      <c r="AE672" s="173"/>
      <c r="AF672" s="173"/>
      <c r="AG672" s="173"/>
      <c r="AH672" s="173"/>
      <c r="AI672" s="173"/>
      <c r="AJ672" s="173"/>
      <c r="AK672" s="173"/>
      <c r="AL672" s="173"/>
      <c r="AM672" s="173"/>
      <c r="AN672" s="173"/>
      <c r="AO672" s="173"/>
      <c r="AP672" s="173"/>
    </row>
    <row r="673" spans="6:42">
      <c r="F673" s="692"/>
      <c r="G673" s="692"/>
      <c r="H673" s="692"/>
      <c r="I673" s="692"/>
      <c r="J673" s="692"/>
      <c r="K673" s="692"/>
      <c r="L673" s="692"/>
      <c r="M673" s="692"/>
      <c r="N673" s="692"/>
      <c r="O673" s="692"/>
      <c r="P673" s="692"/>
      <c r="Q673" s="173"/>
      <c r="R673" s="173"/>
      <c r="S673" s="173"/>
      <c r="T673" s="173"/>
      <c r="U673" s="173"/>
      <c r="V673" s="173"/>
      <c r="W673" s="173"/>
      <c r="X673" s="173"/>
      <c r="Y673" s="173"/>
      <c r="Z673" s="173"/>
      <c r="AA673" s="173"/>
      <c r="AB673" s="173"/>
      <c r="AC673" s="173"/>
      <c r="AD673" s="173"/>
      <c r="AE673" s="173"/>
      <c r="AF673" s="173"/>
      <c r="AG673" s="173"/>
      <c r="AH673" s="173"/>
      <c r="AI673" s="173"/>
      <c r="AJ673" s="173"/>
      <c r="AK673" s="173"/>
      <c r="AL673" s="173"/>
      <c r="AM673" s="173"/>
      <c r="AN673" s="173"/>
      <c r="AO673" s="173"/>
      <c r="AP673" s="173"/>
    </row>
    <row r="674" spans="6:42">
      <c r="F674" s="692"/>
      <c r="G674" s="692"/>
      <c r="H674" s="692"/>
      <c r="I674" s="692"/>
      <c r="J674" s="692"/>
      <c r="K674" s="692"/>
      <c r="L674" s="692"/>
      <c r="M674" s="692"/>
      <c r="N674" s="692"/>
      <c r="O674" s="692"/>
      <c r="P674" s="692"/>
      <c r="Q674" s="173"/>
      <c r="R674" s="173"/>
      <c r="S674" s="173"/>
      <c r="T674" s="173"/>
      <c r="U674" s="173"/>
      <c r="V674" s="173"/>
      <c r="W674" s="173"/>
      <c r="X674" s="173"/>
      <c r="Y674" s="173"/>
      <c r="Z674" s="173"/>
      <c r="AA674" s="173"/>
      <c r="AB674" s="173"/>
      <c r="AC674" s="173"/>
      <c r="AD674" s="173"/>
      <c r="AE674" s="173"/>
      <c r="AF674" s="173"/>
      <c r="AG674" s="173"/>
      <c r="AH674" s="173"/>
      <c r="AI674" s="173"/>
      <c r="AJ674" s="173"/>
      <c r="AK674" s="173"/>
      <c r="AL674" s="173"/>
      <c r="AM674" s="173"/>
      <c r="AN674" s="173"/>
      <c r="AO674" s="173"/>
      <c r="AP674" s="173"/>
    </row>
    <row r="675" spans="6:42">
      <c r="F675" s="692"/>
      <c r="G675" s="692"/>
      <c r="H675" s="692"/>
      <c r="I675" s="692"/>
      <c r="J675" s="692"/>
      <c r="K675" s="692"/>
      <c r="L675" s="692"/>
      <c r="M675" s="692"/>
      <c r="N675" s="692"/>
      <c r="O675" s="692"/>
      <c r="P675" s="692"/>
      <c r="Q675" s="173"/>
      <c r="R675" s="173"/>
      <c r="S675" s="173"/>
      <c r="T675" s="173"/>
      <c r="U675" s="173"/>
      <c r="V675" s="173"/>
      <c r="W675" s="173"/>
      <c r="X675" s="173"/>
      <c r="Y675" s="173"/>
      <c r="Z675" s="173"/>
      <c r="AA675" s="173"/>
      <c r="AB675" s="173"/>
      <c r="AC675" s="173"/>
      <c r="AD675" s="173"/>
      <c r="AE675" s="173"/>
      <c r="AF675" s="173"/>
      <c r="AG675" s="173"/>
      <c r="AH675" s="173"/>
      <c r="AI675" s="173"/>
      <c r="AJ675" s="173"/>
      <c r="AK675" s="173"/>
      <c r="AL675" s="173"/>
      <c r="AM675" s="173"/>
      <c r="AN675" s="173"/>
      <c r="AO675" s="173"/>
      <c r="AP675" s="173"/>
    </row>
    <row r="676" spans="6:42">
      <c r="F676" s="692"/>
      <c r="G676" s="692"/>
      <c r="H676" s="692"/>
      <c r="I676" s="692"/>
      <c r="J676" s="692"/>
      <c r="K676" s="692"/>
      <c r="L676" s="692"/>
      <c r="M676" s="692"/>
      <c r="N676" s="692"/>
      <c r="O676" s="692"/>
      <c r="P676" s="692"/>
      <c r="Q676" s="173"/>
      <c r="R676" s="173"/>
      <c r="S676" s="173"/>
      <c r="T676" s="173"/>
      <c r="U676" s="173"/>
      <c r="V676" s="173"/>
      <c r="W676" s="173"/>
      <c r="X676" s="173"/>
      <c r="Y676" s="173"/>
      <c r="Z676" s="173"/>
      <c r="AA676" s="173"/>
      <c r="AB676" s="173"/>
      <c r="AC676" s="173"/>
      <c r="AD676" s="173"/>
      <c r="AE676" s="173"/>
      <c r="AF676" s="173"/>
      <c r="AG676" s="173"/>
      <c r="AH676" s="173"/>
      <c r="AI676" s="173"/>
      <c r="AJ676" s="173"/>
      <c r="AK676" s="173"/>
      <c r="AL676" s="173"/>
      <c r="AM676" s="173"/>
      <c r="AN676" s="173"/>
      <c r="AO676" s="173"/>
      <c r="AP676" s="173"/>
    </row>
    <row r="677" spans="6:42">
      <c r="F677" s="692"/>
      <c r="G677" s="692"/>
      <c r="H677" s="692"/>
      <c r="I677" s="692"/>
      <c r="J677" s="692"/>
      <c r="K677" s="692"/>
      <c r="L677" s="692"/>
      <c r="M677" s="692"/>
      <c r="N677" s="692"/>
      <c r="O677" s="692"/>
      <c r="P677" s="692"/>
      <c r="Q677" s="173"/>
      <c r="R677" s="173"/>
      <c r="S677" s="173"/>
      <c r="T677" s="173"/>
      <c r="U677" s="173"/>
      <c r="V677" s="173"/>
      <c r="W677" s="173"/>
      <c r="X677" s="173"/>
      <c r="Y677" s="173"/>
      <c r="Z677" s="173"/>
      <c r="AA677" s="173"/>
      <c r="AB677" s="173"/>
      <c r="AC677" s="173"/>
      <c r="AD677" s="173"/>
      <c r="AE677" s="173"/>
      <c r="AF677" s="173"/>
      <c r="AG677" s="173"/>
      <c r="AH677" s="173"/>
      <c r="AI677" s="173"/>
      <c r="AJ677" s="173"/>
      <c r="AK677" s="173"/>
      <c r="AL677" s="173"/>
      <c r="AM677" s="173"/>
      <c r="AN677" s="173"/>
      <c r="AO677" s="173"/>
      <c r="AP677" s="173"/>
    </row>
    <row r="678" spans="6:42">
      <c r="F678" s="692"/>
      <c r="G678" s="692"/>
      <c r="H678" s="692"/>
      <c r="I678" s="692"/>
      <c r="J678" s="692"/>
      <c r="K678" s="692"/>
      <c r="L678" s="692"/>
      <c r="M678" s="692"/>
      <c r="N678" s="692"/>
      <c r="O678" s="692"/>
      <c r="P678" s="692"/>
      <c r="Q678" s="173"/>
      <c r="R678" s="173"/>
      <c r="S678" s="173"/>
      <c r="T678" s="173"/>
      <c r="U678" s="173"/>
      <c r="V678" s="173"/>
      <c r="W678" s="173"/>
      <c r="X678" s="173"/>
      <c r="Y678" s="173"/>
      <c r="Z678" s="173"/>
      <c r="AA678" s="173"/>
      <c r="AB678" s="173"/>
      <c r="AC678" s="173"/>
      <c r="AD678" s="173"/>
      <c r="AE678" s="173"/>
      <c r="AF678" s="173"/>
      <c r="AG678" s="173"/>
      <c r="AH678" s="173"/>
      <c r="AI678" s="173"/>
      <c r="AJ678" s="173"/>
      <c r="AK678" s="173"/>
      <c r="AL678" s="173"/>
      <c r="AM678" s="173"/>
      <c r="AN678" s="173"/>
      <c r="AO678" s="173"/>
      <c r="AP678" s="173"/>
    </row>
    <row r="679" spans="6:42">
      <c r="F679" s="692"/>
      <c r="G679" s="692"/>
      <c r="H679" s="692"/>
      <c r="I679" s="692"/>
      <c r="J679" s="692"/>
      <c r="K679" s="692"/>
      <c r="L679" s="692"/>
      <c r="M679" s="692"/>
      <c r="N679" s="692"/>
      <c r="O679" s="692"/>
      <c r="P679" s="692"/>
      <c r="Q679" s="173"/>
      <c r="R679" s="173"/>
      <c r="S679" s="173"/>
      <c r="T679" s="173"/>
      <c r="U679" s="173"/>
      <c r="V679" s="173"/>
      <c r="W679" s="173"/>
      <c r="X679" s="173"/>
      <c r="Y679" s="173"/>
      <c r="Z679" s="173"/>
      <c r="AA679" s="173"/>
      <c r="AB679" s="173"/>
      <c r="AC679" s="173"/>
      <c r="AD679" s="173"/>
      <c r="AE679" s="173"/>
      <c r="AF679" s="173"/>
      <c r="AG679" s="173"/>
      <c r="AH679" s="173"/>
      <c r="AI679" s="173"/>
      <c r="AJ679" s="173"/>
      <c r="AK679" s="173"/>
      <c r="AL679" s="173"/>
      <c r="AM679" s="173"/>
      <c r="AN679" s="173"/>
      <c r="AO679" s="173"/>
      <c r="AP679" s="173"/>
    </row>
    <row r="680" spans="6:42">
      <c r="F680" s="692"/>
      <c r="G680" s="692"/>
      <c r="H680" s="692"/>
      <c r="I680" s="692"/>
      <c r="J680" s="692"/>
      <c r="K680" s="692"/>
      <c r="L680" s="692"/>
      <c r="M680" s="692"/>
      <c r="N680" s="692"/>
      <c r="O680" s="692"/>
      <c r="P680" s="692"/>
      <c r="Q680" s="173"/>
      <c r="R680" s="173"/>
      <c r="S680" s="173"/>
      <c r="T680" s="173"/>
      <c r="U680" s="173"/>
      <c r="V680" s="173"/>
      <c r="W680" s="173"/>
      <c r="X680" s="173"/>
      <c r="Y680" s="173"/>
      <c r="Z680" s="173"/>
      <c r="AA680" s="173"/>
      <c r="AB680" s="173"/>
      <c r="AC680" s="173"/>
      <c r="AD680" s="173"/>
      <c r="AE680" s="173"/>
      <c r="AF680" s="173"/>
      <c r="AG680" s="173"/>
      <c r="AH680" s="173"/>
      <c r="AI680" s="173"/>
      <c r="AJ680" s="173"/>
      <c r="AK680" s="173"/>
      <c r="AL680" s="173"/>
      <c r="AM680" s="173"/>
      <c r="AN680" s="173"/>
      <c r="AO680" s="173"/>
      <c r="AP680" s="173"/>
    </row>
    <row r="681" spans="6:42">
      <c r="F681" s="692"/>
      <c r="G681" s="692"/>
      <c r="H681" s="692"/>
      <c r="I681" s="692"/>
      <c r="J681" s="692"/>
      <c r="K681" s="692"/>
      <c r="L681" s="692"/>
      <c r="M681" s="692"/>
      <c r="N681" s="692"/>
      <c r="O681" s="692"/>
      <c r="P681" s="692"/>
      <c r="Q681" s="173"/>
      <c r="R681" s="173"/>
      <c r="S681" s="173"/>
      <c r="T681" s="173"/>
      <c r="U681" s="173"/>
      <c r="V681" s="173"/>
      <c r="W681" s="173"/>
      <c r="X681" s="173"/>
      <c r="Y681" s="173"/>
      <c r="Z681" s="173"/>
      <c r="AA681" s="173"/>
      <c r="AB681" s="173"/>
      <c r="AC681" s="173"/>
      <c r="AD681" s="173"/>
      <c r="AE681" s="173"/>
      <c r="AF681" s="173"/>
      <c r="AG681" s="173"/>
      <c r="AH681" s="173"/>
      <c r="AI681" s="173"/>
      <c r="AJ681" s="173"/>
      <c r="AK681" s="173"/>
      <c r="AL681" s="173"/>
      <c r="AM681" s="173"/>
      <c r="AN681" s="173"/>
      <c r="AO681" s="173"/>
      <c r="AP681" s="173"/>
    </row>
    <row r="682" spans="6:42">
      <c r="F682" s="692"/>
      <c r="G682" s="692"/>
      <c r="H682" s="692"/>
      <c r="I682" s="692"/>
      <c r="J682" s="692"/>
      <c r="K682" s="692"/>
      <c r="L682" s="692"/>
      <c r="M682" s="692"/>
      <c r="N682" s="692"/>
      <c r="O682" s="692"/>
      <c r="P682" s="692"/>
      <c r="Q682" s="173"/>
      <c r="R682" s="173"/>
      <c r="S682" s="173"/>
      <c r="T682" s="173"/>
      <c r="U682" s="173"/>
      <c r="V682" s="173"/>
      <c r="W682" s="173"/>
      <c r="X682" s="173"/>
      <c r="Y682" s="173"/>
      <c r="Z682" s="173"/>
      <c r="AA682" s="173"/>
      <c r="AB682" s="173"/>
      <c r="AC682" s="173"/>
      <c r="AD682" s="173"/>
      <c r="AE682" s="173"/>
      <c r="AF682" s="173"/>
      <c r="AG682" s="173"/>
      <c r="AH682" s="173"/>
      <c r="AI682" s="173"/>
      <c r="AJ682" s="173"/>
      <c r="AK682" s="173"/>
      <c r="AL682" s="173"/>
      <c r="AM682" s="173"/>
      <c r="AN682" s="173"/>
      <c r="AO682" s="173"/>
      <c r="AP682" s="173"/>
    </row>
    <row r="683" spans="6:42">
      <c r="F683" s="692"/>
      <c r="G683" s="692"/>
      <c r="H683" s="692"/>
      <c r="I683" s="692"/>
      <c r="J683" s="692"/>
      <c r="K683" s="692"/>
      <c r="L683" s="692"/>
      <c r="M683" s="692"/>
      <c r="N683" s="692"/>
      <c r="O683" s="692"/>
      <c r="P683" s="692"/>
      <c r="Q683" s="173"/>
      <c r="R683" s="173"/>
      <c r="S683" s="173"/>
      <c r="T683" s="173"/>
      <c r="U683" s="173"/>
      <c r="V683" s="173"/>
      <c r="W683" s="173"/>
      <c r="X683" s="173"/>
      <c r="Y683" s="173"/>
      <c r="Z683" s="173"/>
      <c r="AA683" s="173"/>
      <c r="AB683" s="173"/>
      <c r="AC683" s="173"/>
      <c r="AD683" s="173"/>
      <c r="AE683" s="173"/>
      <c r="AF683" s="173"/>
      <c r="AG683" s="173"/>
      <c r="AH683" s="173"/>
      <c r="AI683" s="173"/>
      <c r="AJ683" s="173"/>
      <c r="AK683" s="173"/>
      <c r="AL683" s="173"/>
      <c r="AM683" s="173"/>
      <c r="AN683" s="173"/>
      <c r="AO683" s="173"/>
      <c r="AP683" s="173"/>
    </row>
    <row r="684" spans="6:42">
      <c r="F684" s="692"/>
      <c r="G684" s="692"/>
      <c r="H684" s="692"/>
      <c r="I684" s="692"/>
      <c r="J684" s="692"/>
      <c r="K684" s="692"/>
      <c r="L684" s="692"/>
      <c r="M684" s="692"/>
      <c r="N684" s="692"/>
      <c r="O684" s="692"/>
      <c r="P684" s="692"/>
      <c r="Q684" s="173"/>
      <c r="R684" s="173"/>
      <c r="S684" s="173"/>
      <c r="T684" s="173"/>
      <c r="U684" s="173"/>
      <c r="V684" s="173"/>
      <c r="W684" s="173"/>
      <c r="X684" s="173"/>
      <c r="Y684" s="173"/>
      <c r="Z684" s="173"/>
      <c r="AA684" s="173"/>
      <c r="AB684" s="173"/>
      <c r="AC684" s="173"/>
      <c r="AD684" s="173"/>
      <c r="AE684" s="173"/>
      <c r="AF684" s="173"/>
      <c r="AG684" s="173"/>
      <c r="AH684" s="173"/>
      <c r="AI684" s="173"/>
      <c r="AJ684" s="173"/>
      <c r="AK684" s="173"/>
      <c r="AL684" s="173"/>
      <c r="AM684" s="173"/>
      <c r="AN684" s="173"/>
      <c r="AO684" s="173"/>
      <c r="AP684" s="173"/>
    </row>
    <row r="685" spans="6:42">
      <c r="F685" s="692"/>
      <c r="G685" s="692"/>
      <c r="H685" s="692"/>
      <c r="I685" s="692"/>
      <c r="J685" s="692"/>
      <c r="K685" s="692"/>
      <c r="L685" s="692"/>
      <c r="M685" s="692"/>
      <c r="N685" s="692"/>
      <c r="O685" s="692"/>
      <c r="P685" s="692"/>
      <c r="Q685" s="173"/>
      <c r="R685" s="173"/>
      <c r="S685" s="173"/>
      <c r="T685" s="173"/>
      <c r="U685" s="173"/>
      <c r="V685" s="173"/>
      <c r="W685" s="173"/>
      <c r="X685" s="173"/>
      <c r="Y685" s="173"/>
      <c r="Z685" s="173"/>
      <c r="AA685" s="173"/>
      <c r="AB685" s="173"/>
      <c r="AC685" s="173"/>
      <c r="AD685" s="173"/>
      <c r="AE685" s="173"/>
      <c r="AF685" s="173"/>
      <c r="AG685" s="173"/>
      <c r="AH685" s="173"/>
      <c r="AI685" s="173"/>
      <c r="AJ685" s="173"/>
      <c r="AK685" s="173"/>
      <c r="AL685" s="173"/>
      <c r="AM685" s="173"/>
      <c r="AN685" s="173"/>
      <c r="AO685" s="173"/>
      <c r="AP685" s="173"/>
    </row>
    <row r="686" spans="6:42">
      <c r="F686" s="692"/>
      <c r="G686" s="692"/>
      <c r="H686" s="692"/>
      <c r="I686" s="692"/>
      <c r="J686" s="692"/>
      <c r="K686" s="692"/>
      <c r="L686" s="692"/>
      <c r="M686" s="692"/>
      <c r="N686" s="692"/>
      <c r="O686" s="692"/>
      <c r="P686" s="692"/>
      <c r="Q686" s="173"/>
      <c r="R686" s="173"/>
      <c r="S686" s="173"/>
      <c r="T686" s="173"/>
      <c r="U686" s="173"/>
      <c r="V686" s="173"/>
      <c r="W686" s="173"/>
      <c r="X686" s="173"/>
      <c r="Y686" s="173"/>
      <c r="Z686" s="173"/>
      <c r="AA686" s="173"/>
      <c r="AB686" s="173"/>
      <c r="AC686" s="173"/>
      <c r="AD686" s="173"/>
      <c r="AE686" s="173"/>
      <c r="AF686" s="173"/>
      <c r="AG686" s="173"/>
      <c r="AH686" s="173"/>
      <c r="AI686" s="173"/>
      <c r="AJ686" s="173"/>
      <c r="AK686" s="173"/>
      <c r="AL686" s="173"/>
      <c r="AM686" s="173"/>
      <c r="AN686" s="173"/>
      <c r="AO686" s="173"/>
      <c r="AP686" s="173"/>
    </row>
    <row r="687" spans="6:42">
      <c r="F687" s="692"/>
      <c r="G687" s="692"/>
      <c r="H687" s="692"/>
      <c r="I687" s="692"/>
      <c r="J687" s="692"/>
      <c r="K687" s="692"/>
      <c r="L687" s="692"/>
      <c r="M687" s="692"/>
      <c r="N687" s="692"/>
      <c r="O687" s="692"/>
      <c r="P687" s="692"/>
      <c r="Q687" s="173"/>
      <c r="R687" s="173"/>
      <c r="S687" s="173"/>
      <c r="T687" s="173"/>
      <c r="U687" s="173"/>
      <c r="V687" s="173"/>
      <c r="W687" s="173"/>
      <c r="X687" s="173"/>
      <c r="Y687" s="173"/>
      <c r="Z687" s="173"/>
      <c r="AA687" s="173"/>
      <c r="AB687" s="173"/>
      <c r="AC687" s="173"/>
      <c r="AD687" s="173"/>
      <c r="AE687" s="173"/>
      <c r="AF687" s="173"/>
      <c r="AG687" s="173"/>
      <c r="AH687" s="173"/>
      <c r="AI687" s="173"/>
      <c r="AJ687" s="173"/>
      <c r="AK687" s="173"/>
      <c r="AL687" s="173"/>
      <c r="AM687" s="173"/>
      <c r="AN687" s="173"/>
      <c r="AO687" s="173"/>
      <c r="AP687" s="173"/>
    </row>
    <row r="688" spans="6:42">
      <c r="F688" s="692"/>
      <c r="G688" s="692"/>
      <c r="H688" s="692"/>
      <c r="I688" s="692"/>
      <c r="J688" s="692"/>
      <c r="K688" s="692"/>
      <c r="L688" s="692"/>
      <c r="M688" s="692"/>
      <c r="N688" s="692"/>
      <c r="O688" s="692"/>
      <c r="P688" s="692"/>
      <c r="Q688" s="173"/>
      <c r="R688" s="173"/>
      <c r="S688" s="173"/>
      <c r="T688" s="173"/>
      <c r="U688" s="173"/>
      <c r="V688" s="173"/>
      <c r="W688" s="173"/>
      <c r="X688" s="173"/>
      <c r="Y688" s="173"/>
      <c r="Z688" s="173"/>
      <c r="AA688" s="173"/>
      <c r="AB688" s="173"/>
      <c r="AC688" s="173"/>
      <c r="AD688" s="173"/>
      <c r="AE688" s="173"/>
      <c r="AF688" s="173"/>
      <c r="AG688" s="173"/>
      <c r="AH688" s="173"/>
      <c r="AI688" s="173"/>
      <c r="AJ688" s="173"/>
      <c r="AK688" s="173"/>
      <c r="AL688" s="173"/>
      <c r="AM688" s="173"/>
      <c r="AN688" s="173"/>
      <c r="AO688" s="173"/>
      <c r="AP688" s="173"/>
    </row>
    <row r="689" spans="6:42">
      <c r="F689" s="692"/>
      <c r="G689" s="692"/>
      <c r="H689" s="692"/>
      <c r="I689" s="692"/>
      <c r="J689" s="692"/>
      <c r="K689" s="692"/>
      <c r="L689" s="692"/>
      <c r="M689" s="692"/>
      <c r="N689" s="692"/>
      <c r="O689" s="692"/>
      <c r="P689" s="692"/>
      <c r="Q689" s="173"/>
      <c r="R689" s="173"/>
      <c r="S689" s="173"/>
      <c r="T689" s="173"/>
      <c r="U689" s="173"/>
      <c r="V689" s="173"/>
      <c r="W689" s="173"/>
      <c r="X689" s="173"/>
      <c r="Y689" s="173"/>
      <c r="Z689" s="173"/>
      <c r="AA689" s="173"/>
      <c r="AB689" s="173"/>
      <c r="AC689" s="173"/>
      <c r="AD689" s="173"/>
      <c r="AE689" s="173"/>
      <c r="AF689" s="173"/>
      <c r="AG689" s="173"/>
      <c r="AH689" s="173"/>
      <c r="AI689" s="173"/>
      <c r="AJ689" s="173"/>
      <c r="AK689" s="173"/>
      <c r="AL689" s="173"/>
      <c r="AM689" s="173"/>
      <c r="AN689" s="173"/>
      <c r="AO689" s="173"/>
      <c r="AP689" s="173"/>
    </row>
    <row r="690" spans="6:42">
      <c r="F690" s="692"/>
      <c r="G690" s="692"/>
      <c r="H690" s="692"/>
      <c r="I690" s="692"/>
      <c r="J690" s="692"/>
      <c r="K690" s="692"/>
      <c r="L690" s="692"/>
      <c r="M690" s="692"/>
      <c r="N690" s="692"/>
      <c r="O690" s="692"/>
      <c r="P690" s="692"/>
      <c r="Q690" s="173"/>
      <c r="R690" s="173"/>
      <c r="S690" s="173"/>
      <c r="T690" s="173"/>
      <c r="U690" s="173"/>
      <c r="V690" s="173"/>
      <c r="W690" s="173"/>
      <c r="X690" s="173"/>
      <c r="Y690" s="173"/>
      <c r="Z690" s="173"/>
      <c r="AA690" s="173"/>
      <c r="AB690" s="173"/>
      <c r="AC690" s="173"/>
      <c r="AD690" s="173"/>
      <c r="AE690" s="173"/>
      <c r="AF690" s="173"/>
      <c r="AG690" s="173"/>
      <c r="AH690" s="173"/>
      <c r="AI690" s="173"/>
      <c r="AJ690" s="173"/>
      <c r="AK690" s="173"/>
      <c r="AL690" s="173"/>
      <c r="AM690" s="173"/>
      <c r="AN690" s="173"/>
      <c r="AO690" s="173"/>
      <c r="AP690" s="173"/>
    </row>
    <row r="691" spans="6:42">
      <c r="F691" s="692"/>
      <c r="G691" s="692"/>
      <c r="H691" s="692"/>
      <c r="I691" s="692"/>
      <c r="J691" s="692"/>
      <c r="K691" s="692"/>
      <c r="L691" s="692"/>
      <c r="M691" s="692"/>
      <c r="N691" s="692"/>
      <c r="O691" s="692"/>
      <c r="P691" s="692"/>
      <c r="Q691" s="173"/>
      <c r="R691" s="173"/>
      <c r="S691" s="173"/>
      <c r="T691" s="173"/>
      <c r="U691" s="173"/>
      <c r="V691" s="173"/>
      <c r="W691" s="173"/>
      <c r="X691" s="173"/>
      <c r="Y691" s="173"/>
      <c r="Z691" s="173"/>
      <c r="AA691" s="173"/>
      <c r="AB691" s="173"/>
      <c r="AC691" s="173"/>
      <c r="AD691" s="173"/>
      <c r="AE691" s="173"/>
      <c r="AF691" s="173"/>
      <c r="AG691" s="173"/>
      <c r="AH691" s="173"/>
      <c r="AI691" s="173"/>
      <c r="AJ691" s="173"/>
      <c r="AK691" s="173"/>
      <c r="AL691" s="173"/>
      <c r="AM691" s="173"/>
      <c r="AN691" s="173"/>
      <c r="AO691" s="173"/>
      <c r="AP691" s="173"/>
    </row>
    <row r="692" spans="6:42">
      <c r="F692" s="692"/>
      <c r="G692" s="692"/>
      <c r="H692" s="692"/>
      <c r="I692" s="692"/>
      <c r="J692" s="692"/>
      <c r="K692" s="692"/>
      <c r="L692" s="692"/>
      <c r="M692" s="692"/>
      <c r="N692" s="692"/>
      <c r="O692" s="692"/>
      <c r="P692" s="692"/>
      <c r="Q692" s="173"/>
      <c r="R692" s="173"/>
      <c r="S692" s="173"/>
      <c r="T692" s="173"/>
      <c r="U692" s="173"/>
      <c r="V692" s="173"/>
      <c r="W692" s="173"/>
      <c r="X692" s="173"/>
      <c r="Y692" s="173"/>
      <c r="Z692" s="173"/>
      <c r="AA692" s="173"/>
      <c r="AB692" s="173"/>
      <c r="AC692" s="173"/>
      <c r="AD692" s="173"/>
      <c r="AE692" s="173"/>
      <c r="AF692" s="173"/>
      <c r="AG692" s="173"/>
      <c r="AH692" s="173"/>
      <c r="AI692" s="173"/>
      <c r="AJ692" s="173"/>
      <c r="AK692" s="173"/>
      <c r="AL692" s="173"/>
      <c r="AM692" s="173"/>
      <c r="AN692" s="173"/>
      <c r="AO692" s="173"/>
      <c r="AP692" s="173"/>
    </row>
    <row r="693" spans="6:42">
      <c r="F693" s="692"/>
      <c r="G693" s="692"/>
      <c r="H693" s="692"/>
      <c r="I693" s="692"/>
      <c r="J693" s="692"/>
      <c r="K693" s="692"/>
      <c r="L693" s="692"/>
      <c r="M693" s="692"/>
      <c r="N693" s="692"/>
      <c r="O693" s="692"/>
      <c r="P693" s="692"/>
      <c r="Q693" s="173"/>
      <c r="R693" s="173"/>
      <c r="S693" s="173"/>
      <c r="T693" s="173"/>
      <c r="U693" s="173"/>
      <c r="V693" s="173"/>
      <c r="W693" s="173"/>
      <c r="X693" s="173"/>
      <c r="Y693" s="173"/>
      <c r="Z693" s="173"/>
      <c r="AA693" s="173"/>
      <c r="AB693" s="173"/>
      <c r="AC693" s="173"/>
      <c r="AD693" s="173"/>
      <c r="AE693" s="173"/>
      <c r="AF693" s="173"/>
      <c r="AG693" s="173"/>
      <c r="AH693" s="173"/>
      <c r="AI693" s="173"/>
      <c r="AJ693" s="173"/>
      <c r="AK693" s="173"/>
      <c r="AL693" s="173"/>
      <c r="AM693" s="173"/>
      <c r="AN693" s="173"/>
      <c r="AO693" s="173"/>
      <c r="AP693" s="173"/>
    </row>
    <row r="694" spans="6:42">
      <c r="F694" s="692"/>
      <c r="G694" s="692"/>
      <c r="H694" s="692"/>
      <c r="I694" s="692"/>
      <c r="J694" s="692"/>
      <c r="K694" s="692"/>
      <c r="L694" s="692"/>
      <c r="M694" s="692"/>
      <c r="N694" s="692"/>
      <c r="O694" s="692"/>
      <c r="P694" s="692"/>
      <c r="Q694" s="173"/>
      <c r="R694" s="173"/>
      <c r="S694" s="173"/>
      <c r="T694" s="173"/>
      <c r="U694" s="173"/>
      <c r="V694" s="173"/>
      <c r="W694" s="173"/>
      <c r="X694" s="173"/>
      <c r="Y694" s="173"/>
      <c r="Z694" s="173"/>
      <c r="AA694" s="173"/>
      <c r="AB694" s="173"/>
      <c r="AC694" s="173"/>
      <c r="AD694" s="173"/>
      <c r="AE694" s="173"/>
      <c r="AF694" s="173"/>
      <c r="AG694" s="173"/>
      <c r="AH694" s="173"/>
      <c r="AI694" s="173"/>
      <c r="AJ694" s="173"/>
      <c r="AK694" s="173"/>
      <c r="AL694" s="173"/>
      <c r="AM694" s="173"/>
      <c r="AN694" s="173"/>
      <c r="AO694" s="173"/>
      <c r="AP694" s="173"/>
    </row>
    <row r="695" spans="6:42">
      <c r="F695" s="692"/>
      <c r="G695" s="692"/>
      <c r="H695" s="692"/>
      <c r="I695" s="692"/>
      <c r="J695" s="692"/>
      <c r="K695" s="692"/>
      <c r="L695" s="692"/>
      <c r="M695" s="692"/>
      <c r="N695" s="692"/>
      <c r="O695" s="692"/>
      <c r="P695" s="692"/>
      <c r="Q695" s="173"/>
      <c r="R695" s="173"/>
      <c r="S695" s="173"/>
      <c r="T695" s="173"/>
      <c r="U695" s="173"/>
      <c r="V695" s="173"/>
      <c r="W695" s="173"/>
      <c r="X695" s="173"/>
      <c r="Y695" s="173"/>
      <c r="Z695" s="173"/>
      <c r="AA695" s="173"/>
      <c r="AB695" s="173"/>
      <c r="AC695" s="173"/>
      <c r="AD695" s="173"/>
      <c r="AE695" s="173"/>
      <c r="AF695" s="173"/>
      <c r="AG695" s="173"/>
      <c r="AH695" s="173"/>
      <c r="AI695" s="173"/>
      <c r="AJ695" s="173"/>
      <c r="AK695" s="173"/>
      <c r="AL695" s="173"/>
      <c r="AM695" s="173"/>
      <c r="AN695" s="173"/>
      <c r="AO695" s="173"/>
      <c r="AP695" s="173"/>
    </row>
    <row r="696" spans="6:42">
      <c r="F696" s="692"/>
      <c r="G696" s="692"/>
      <c r="H696" s="692"/>
      <c r="I696" s="692"/>
      <c r="J696" s="692"/>
      <c r="K696" s="692"/>
      <c r="L696" s="692"/>
      <c r="M696" s="692"/>
      <c r="N696" s="692"/>
      <c r="O696" s="692"/>
      <c r="P696" s="692"/>
      <c r="Q696" s="173"/>
      <c r="R696" s="173"/>
      <c r="S696" s="173"/>
      <c r="T696" s="173"/>
      <c r="U696" s="173"/>
      <c r="V696" s="173"/>
      <c r="W696" s="173"/>
      <c r="X696" s="173"/>
      <c r="Y696" s="173"/>
      <c r="Z696" s="173"/>
      <c r="AA696" s="173"/>
      <c r="AB696" s="173"/>
      <c r="AC696" s="173"/>
      <c r="AD696" s="173"/>
      <c r="AE696" s="173"/>
      <c r="AF696" s="173"/>
      <c r="AG696" s="173"/>
      <c r="AH696" s="173"/>
      <c r="AI696" s="173"/>
      <c r="AJ696" s="173"/>
      <c r="AK696" s="173"/>
      <c r="AL696" s="173"/>
      <c r="AM696" s="173"/>
      <c r="AN696" s="173"/>
      <c r="AO696" s="173"/>
      <c r="AP696" s="173"/>
    </row>
    <row r="697" spans="6:42">
      <c r="F697" s="692"/>
      <c r="G697" s="692"/>
      <c r="H697" s="692"/>
      <c r="I697" s="692"/>
      <c r="J697" s="692"/>
      <c r="K697" s="692"/>
      <c r="L697" s="692"/>
      <c r="M697" s="692"/>
      <c r="N697" s="692"/>
      <c r="O697" s="692"/>
      <c r="P697" s="692"/>
      <c r="Q697" s="173"/>
      <c r="R697" s="173"/>
      <c r="S697" s="173"/>
      <c r="T697" s="173"/>
      <c r="U697" s="173"/>
      <c r="V697" s="173"/>
      <c r="W697" s="173"/>
      <c r="X697" s="173"/>
      <c r="Y697" s="173"/>
      <c r="Z697" s="173"/>
      <c r="AA697" s="173"/>
      <c r="AB697" s="173"/>
      <c r="AC697" s="173"/>
      <c r="AD697" s="173"/>
      <c r="AE697" s="173"/>
      <c r="AF697" s="173"/>
      <c r="AG697" s="173"/>
      <c r="AH697" s="173"/>
      <c r="AI697" s="173"/>
      <c r="AJ697" s="173"/>
      <c r="AK697" s="173"/>
      <c r="AL697" s="173"/>
      <c r="AM697" s="173"/>
      <c r="AN697" s="173"/>
      <c r="AO697" s="173"/>
      <c r="AP697" s="173"/>
    </row>
    <row r="698" spans="6:42">
      <c r="F698" s="692"/>
      <c r="G698" s="692"/>
      <c r="H698" s="692"/>
      <c r="I698" s="692"/>
      <c r="J698" s="692"/>
      <c r="K698" s="692"/>
      <c r="L698" s="692"/>
      <c r="M698" s="692"/>
      <c r="N698" s="692"/>
      <c r="O698" s="692"/>
      <c r="P698" s="692"/>
      <c r="Q698" s="173"/>
      <c r="R698" s="173"/>
      <c r="S698" s="173"/>
      <c r="T698" s="173"/>
      <c r="U698" s="173"/>
      <c r="V698" s="173"/>
      <c r="W698" s="173"/>
      <c r="X698" s="173"/>
      <c r="Y698" s="173"/>
      <c r="Z698" s="173"/>
      <c r="AA698" s="173"/>
      <c r="AB698" s="173"/>
      <c r="AC698" s="173"/>
      <c r="AD698" s="173"/>
      <c r="AE698" s="173"/>
      <c r="AF698" s="173"/>
      <c r="AG698" s="173"/>
      <c r="AH698" s="173"/>
      <c r="AI698" s="173"/>
      <c r="AJ698" s="173"/>
      <c r="AK698" s="173"/>
      <c r="AL698" s="173"/>
      <c r="AM698" s="173"/>
      <c r="AN698" s="173"/>
      <c r="AO698" s="173"/>
      <c r="AP698" s="173"/>
    </row>
    <row r="699" spans="6:42">
      <c r="F699" s="692"/>
      <c r="G699" s="692"/>
      <c r="H699" s="692"/>
      <c r="I699" s="692"/>
      <c r="J699" s="692"/>
      <c r="K699" s="692"/>
      <c r="L699" s="692"/>
      <c r="M699" s="692"/>
      <c r="N699" s="692"/>
      <c r="O699" s="692"/>
      <c r="P699" s="692"/>
      <c r="Q699" s="173"/>
      <c r="R699" s="173"/>
      <c r="S699" s="173"/>
      <c r="T699" s="173"/>
      <c r="U699" s="173"/>
      <c r="V699" s="173"/>
      <c r="W699" s="173"/>
      <c r="X699" s="173"/>
      <c r="Y699" s="173"/>
      <c r="Z699" s="173"/>
      <c r="AA699" s="173"/>
      <c r="AB699" s="173"/>
      <c r="AC699" s="173"/>
      <c r="AD699" s="173"/>
      <c r="AE699" s="173"/>
      <c r="AF699" s="173"/>
      <c r="AG699" s="173"/>
      <c r="AH699" s="173"/>
      <c r="AI699" s="173"/>
      <c r="AJ699" s="173"/>
      <c r="AK699" s="173"/>
      <c r="AL699" s="173"/>
      <c r="AM699" s="173"/>
      <c r="AN699" s="173"/>
      <c r="AO699" s="173"/>
      <c r="AP699" s="173"/>
    </row>
    <row r="700" spans="6:42">
      <c r="F700" s="692"/>
      <c r="G700" s="692"/>
      <c r="H700" s="692"/>
      <c r="I700" s="692"/>
      <c r="J700" s="692"/>
      <c r="K700" s="692"/>
      <c r="L700" s="692"/>
      <c r="M700" s="692"/>
      <c r="N700" s="692"/>
      <c r="O700" s="692"/>
      <c r="P700" s="692"/>
      <c r="Q700" s="173"/>
      <c r="R700" s="173"/>
      <c r="S700" s="173"/>
      <c r="T700" s="173"/>
      <c r="U700" s="173"/>
      <c r="V700" s="173"/>
      <c r="W700" s="173"/>
      <c r="X700" s="173"/>
      <c r="Y700" s="173"/>
      <c r="Z700" s="173"/>
      <c r="AA700" s="173"/>
      <c r="AB700" s="173"/>
      <c r="AC700" s="173"/>
      <c r="AD700" s="173"/>
      <c r="AE700" s="173"/>
      <c r="AF700" s="173"/>
      <c r="AG700" s="173"/>
      <c r="AH700" s="173"/>
      <c r="AI700" s="173"/>
      <c r="AJ700" s="173"/>
      <c r="AK700" s="173"/>
      <c r="AL700" s="173"/>
      <c r="AM700" s="173"/>
      <c r="AN700" s="173"/>
      <c r="AO700" s="173"/>
      <c r="AP700" s="173"/>
    </row>
    <row r="701" spans="6:42">
      <c r="F701" s="692"/>
      <c r="G701" s="692"/>
      <c r="H701" s="692"/>
      <c r="I701" s="692"/>
      <c r="J701" s="692"/>
      <c r="K701" s="692"/>
      <c r="L701" s="692"/>
      <c r="M701" s="692"/>
      <c r="N701" s="692"/>
      <c r="O701" s="692"/>
      <c r="P701" s="692"/>
      <c r="Q701" s="173"/>
      <c r="R701" s="173"/>
      <c r="S701" s="173"/>
      <c r="T701" s="173"/>
      <c r="U701" s="173"/>
      <c r="V701" s="173"/>
      <c r="W701" s="173"/>
      <c r="X701" s="173"/>
      <c r="Y701" s="173"/>
      <c r="Z701" s="173"/>
      <c r="AA701" s="173"/>
      <c r="AB701" s="173"/>
      <c r="AC701" s="173"/>
      <c r="AD701" s="173"/>
      <c r="AE701" s="173"/>
      <c r="AF701" s="173"/>
      <c r="AG701" s="173"/>
      <c r="AH701" s="173"/>
      <c r="AI701" s="173"/>
      <c r="AJ701" s="173"/>
      <c r="AK701" s="173"/>
      <c r="AL701" s="173"/>
      <c r="AM701" s="173"/>
      <c r="AN701" s="173"/>
      <c r="AO701" s="173"/>
      <c r="AP701" s="173"/>
    </row>
    <row r="702" spans="6:42">
      <c r="F702" s="692"/>
      <c r="G702" s="692"/>
      <c r="H702" s="692"/>
      <c r="I702" s="692"/>
      <c r="J702" s="692"/>
      <c r="K702" s="692"/>
      <c r="L702" s="692"/>
      <c r="M702" s="692"/>
      <c r="N702" s="692"/>
      <c r="O702" s="692"/>
      <c r="P702" s="692"/>
      <c r="Q702" s="173"/>
      <c r="R702" s="173"/>
      <c r="S702" s="173"/>
      <c r="T702" s="173"/>
      <c r="U702" s="173"/>
      <c r="V702" s="173"/>
      <c r="W702" s="173"/>
      <c r="X702" s="173"/>
      <c r="Y702" s="173"/>
      <c r="Z702" s="173"/>
      <c r="AA702" s="173"/>
      <c r="AB702" s="173"/>
      <c r="AC702" s="173"/>
      <c r="AD702" s="173"/>
      <c r="AE702" s="173"/>
      <c r="AF702" s="173"/>
      <c r="AG702" s="173"/>
      <c r="AH702" s="173"/>
      <c r="AI702" s="173"/>
      <c r="AJ702" s="173"/>
      <c r="AK702" s="173"/>
      <c r="AL702" s="173"/>
      <c r="AM702" s="173"/>
      <c r="AN702" s="173"/>
      <c r="AO702" s="173"/>
      <c r="AP702" s="173"/>
    </row>
    <row r="703" spans="6:42">
      <c r="F703" s="692"/>
      <c r="G703" s="692"/>
      <c r="H703" s="692"/>
      <c r="I703" s="692"/>
      <c r="J703" s="692"/>
      <c r="K703" s="692"/>
      <c r="L703" s="692"/>
      <c r="M703" s="692"/>
      <c r="N703" s="692"/>
      <c r="O703" s="692"/>
      <c r="P703" s="692"/>
      <c r="Q703" s="173"/>
      <c r="R703" s="173"/>
      <c r="S703" s="173"/>
      <c r="T703" s="173"/>
      <c r="U703" s="173"/>
      <c r="V703" s="173"/>
      <c r="W703" s="173"/>
      <c r="X703" s="173"/>
      <c r="Y703" s="173"/>
      <c r="Z703" s="173"/>
      <c r="AA703" s="173"/>
      <c r="AB703" s="173"/>
      <c r="AC703" s="173"/>
      <c r="AD703" s="173"/>
      <c r="AE703" s="173"/>
      <c r="AF703" s="173"/>
      <c r="AG703" s="173"/>
      <c r="AH703" s="173"/>
      <c r="AI703" s="173"/>
      <c r="AJ703" s="173"/>
      <c r="AK703" s="173"/>
      <c r="AL703" s="173"/>
      <c r="AM703" s="173"/>
      <c r="AN703" s="173"/>
      <c r="AO703" s="173"/>
      <c r="AP703" s="173"/>
    </row>
    <row r="704" spans="6:42">
      <c r="F704" s="692"/>
      <c r="G704" s="692"/>
      <c r="H704" s="692"/>
      <c r="I704" s="692"/>
      <c r="J704" s="692"/>
      <c r="K704" s="692"/>
      <c r="L704" s="692"/>
      <c r="M704" s="692"/>
      <c r="N704" s="692"/>
      <c r="O704" s="692"/>
      <c r="P704" s="692"/>
      <c r="Q704" s="173"/>
      <c r="R704" s="173"/>
      <c r="S704" s="173"/>
      <c r="T704" s="173"/>
      <c r="U704" s="173"/>
      <c r="V704" s="173"/>
      <c r="W704" s="173"/>
      <c r="X704" s="173"/>
      <c r="Y704" s="173"/>
      <c r="Z704" s="173"/>
      <c r="AA704" s="173"/>
      <c r="AB704" s="173"/>
      <c r="AC704" s="173"/>
      <c r="AD704" s="173"/>
      <c r="AE704" s="173"/>
      <c r="AF704" s="173"/>
      <c r="AG704" s="173"/>
      <c r="AH704" s="173"/>
      <c r="AI704" s="173"/>
      <c r="AJ704" s="173"/>
      <c r="AK704" s="173"/>
      <c r="AL704" s="173"/>
      <c r="AM704" s="173"/>
      <c r="AN704" s="173"/>
      <c r="AO704" s="173"/>
      <c r="AP704" s="173"/>
    </row>
    <row r="705" spans="6:42">
      <c r="F705" s="692"/>
      <c r="G705" s="692"/>
      <c r="H705" s="692"/>
      <c r="I705" s="692"/>
      <c r="J705" s="692"/>
      <c r="K705" s="692"/>
      <c r="L705" s="692"/>
      <c r="M705" s="692"/>
      <c r="N705" s="692"/>
      <c r="O705" s="692"/>
      <c r="P705" s="692"/>
      <c r="Q705" s="173"/>
      <c r="R705" s="173"/>
      <c r="S705" s="173"/>
      <c r="T705" s="173"/>
      <c r="U705" s="173"/>
      <c r="V705" s="173"/>
      <c r="W705" s="173"/>
      <c r="X705" s="173"/>
      <c r="Y705" s="173"/>
      <c r="Z705" s="173"/>
      <c r="AA705" s="173"/>
      <c r="AB705" s="173"/>
      <c r="AC705" s="173"/>
      <c r="AD705" s="173"/>
      <c r="AE705" s="173"/>
      <c r="AF705" s="173"/>
      <c r="AG705" s="173"/>
      <c r="AH705" s="173"/>
      <c r="AI705" s="173"/>
      <c r="AJ705" s="173"/>
      <c r="AK705" s="173"/>
      <c r="AL705" s="173"/>
      <c r="AM705" s="173"/>
      <c r="AN705" s="173"/>
      <c r="AO705" s="173"/>
      <c r="AP705" s="173"/>
    </row>
    <row r="706" spans="6:42">
      <c r="F706" s="692"/>
      <c r="G706" s="692"/>
      <c r="H706" s="692"/>
      <c r="I706" s="692"/>
      <c r="J706" s="692"/>
      <c r="K706" s="692"/>
      <c r="L706" s="692"/>
      <c r="M706" s="692"/>
      <c r="N706" s="692"/>
      <c r="O706" s="692"/>
      <c r="P706" s="692"/>
      <c r="Q706" s="173"/>
      <c r="R706" s="173"/>
      <c r="S706" s="173"/>
      <c r="T706" s="173"/>
      <c r="U706" s="173"/>
      <c r="V706" s="173"/>
      <c r="W706" s="173"/>
      <c r="X706" s="173"/>
      <c r="Y706" s="173"/>
      <c r="Z706" s="173"/>
      <c r="AA706" s="173"/>
      <c r="AB706" s="173"/>
      <c r="AC706" s="173"/>
      <c r="AD706" s="173"/>
      <c r="AE706" s="173"/>
      <c r="AF706" s="173"/>
      <c r="AG706" s="173"/>
      <c r="AH706" s="173"/>
      <c r="AI706" s="173"/>
      <c r="AJ706" s="173"/>
      <c r="AK706" s="173"/>
      <c r="AL706" s="173"/>
      <c r="AM706" s="173"/>
      <c r="AN706" s="173"/>
      <c r="AO706" s="173"/>
      <c r="AP706" s="173"/>
    </row>
    <row r="707" spans="6:42">
      <c r="F707" s="692"/>
      <c r="G707" s="692"/>
      <c r="H707" s="692"/>
      <c r="I707" s="692"/>
      <c r="J707" s="692"/>
      <c r="K707" s="692"/>
      <c r="L707" s="692"/>
      <c r="M707" s="692"/>
      <c r="N707" s="692"/>
      <c r="O707" s="692"/>
      <c r="P707" s="692"/>
      <c r="Q707" s="173"/>
      <c r="R707" s="173"/>
      <c r="S707" s="173"/>
      <c r="T707" s="173"/>
      <c r="U707" s="173"/>
      <c r="V707" s="173"/>
      <c r="W707" s="173"/>
      <c r="X707" s="173"/>
      <c r="Y707" s="173"/>
      <c r="Z707" s="173"/>
      <c r="AA707" s="173"/>
      <c r="AB707" s="173"/>
      <c r="AC707" s="173"/>
      <c r="AD707" s="173"/>
      <c r="AE707" s="173"/>
      <c r="AF707" s="173"/>
      <c r="AG707" s="173"/>
      <c r="AH707" s="173"/>
      <c r="AI707" s="173"/>
      <c r="AJ707" s="173"/>
      <c r="AK707" s="173"/>
      <c r="AL707" s="173"/>
      <c r="AM707" s="173"/>
      <c r="AN707" s="173"/>
      <c r="AO707" s="173"/>
      <c r="AP707" s="173"/>
    </row>
    <row r="708" spans="6:42">
      <c r="F708" s="692"/>
      <c r="G708" s="692"/>
      <c r="H708" s="692"/>
      <c r="I708" s="692"/>
      <c r="J708" s="692"/>
      <c r="K708" s="692"/>
      <c r="L708" s="692"/>
      <c r="M708" s="692"/>
      <c r="N708" s="692"/>
      <c r="O708" s="692"/>
      <c r="P708" s="692"/>
      <c r="Q708" s="173"/>
      <c r="R708" s="173"/>
      <c r="S708" s="173"/>
      <c r="T708" s="173"/>
      <c r="U708" s="173"/>
      <c r="V708" s="173"/>
      <c r="W708" s="173"/>
      <c r="X708" s="173"/>
      <c r="Y708" s="173"/>
      <c r="Z708" s="173"/>
      <c r="AA708" s="173"/>
      <c r="AB708" s="173"/>
      <c r="AC708" s="173"/>
      <c r="AD708" s="173"/>
      <c r="AE708" s="173"/>
      <c r="AF708" s="173"/>
      <c r="AG708" s="173"/>
      <c r="AH708" s="173"/>
      <c r="AI708" s="173"/>
      <c r="AJ708" s="173"/>
      <c r="AK708" s="173"/>
      <c r="AL708" s="173"/>
      <c r="AM708" s="173"/>
      <c r="AN708" s="173"/>
      <c r="AO708" s="173"/>
      <c r="AP708" s="173"/>
    </row>
    <row r="709" spans="6:42">
      <c r="F709" s="692"/>
      <c r="G709" s="692"/>
      <c r="H709" s="692"/>
      <c r="I709" s="692"/>
      <c r="J709" s="692"/>
      <c r="K709" s="692"/>
      <c r="L709" s="692"/>
      <c r="M709" s="692"/>
      <c r="N709" s="692"/>
      <c r="O709" s="692"/>
      <c r="P709" s="692"/>
      <c r="Q709" s="173"/>
      <c r="R709" s="173"/>
      <c r="S709" s="173"/>
      <c r="T709" s="173"/>
      <c r="U709" s="173"/>
      <c r="V709" s="173"/>
      <c r="W709" s="173"/>
      <c r="X709" s="173"/>
      <c r="Y709" s="173"/>
      <c r="Z709" s="173"/>
      <c r="AA709" s="173"/>
      <c r="AB709" s="173"/>
      <c r="AC709" s="173"/>
      <c r="AD709" s="173"/>
      <c r="AE709" s="173"/>
      <c r="AF709" s="173"/>
      <c r="AG709" s="173"/>
      <c r="AH709" s="173"/>
      <c r="AI709" s="173"/>
      <c r="AJ709" s="173"/>
      <c r="AK709" s="173"/>
      <c r="AL709" s="173"/>
      <c r="AM709" s="173"/>
      <c r="AN709" s="173"/>
      <c r="AO709" s="173"/>
      <c r="AP709" s="173"/>
    </row>
    <row r="710" spans="6:42">
      <c r="F710" s="692"/>
      <c r="G710" s="692"/>
      <c r="H710" s="692"/>
      <c r="I710" s="692"/>
      <c r="J710" s="692"/>
      <c r="K710" s="692"/>
      <c r="L710" s="692"/>
      <c r="M710" s="692"/>
      <c r="N710" s="692"/>
      <c r="O710" s="692"/>
      <c r="P710" s="692"/>
      <c r="Q710" s="173"/>
      <c r="R710" s="173"/>
      <c r="S710" s="173"/>
      <c r="T710" s="173"/>
      <c r="U710" s="173"/>
      <c r="V710" s="173"/>
      <c r="W710" s="173"/>
      <c r="X710" s="173"/>
      <c r="Y710" s="173"/>
      <c r="Z710" s="173"/>
      <c r="AA710" s="173"/>
      <c r="AB710" s="173"/>
      <c r="AC710" s="173"/>
      <c r="AD710" s="173"/>
      <c r="AE710" s="173"/>
      <c r="AF710" s="173"/>
      <c r="AG710" s="173"/>
      <c r="AH710" s="173"/>
      <c r="AI710" s="173"/>
      <c r="AJ710" s="173"/>
      <c r="AK710" s="173"/>
      <c r="AL710" s="173"/>
      <c r="AM710" s="173"/>
      <c r="AN710" s="173"/>
      <c r="AO710" s="173"/>
      <c r="AP710" s="173"/>
    </row>
    <row r="711" spans="6:42">
      <c r="F711" s="692"/>
      <c r="G711" s="692"/>
      <c r="H711" s="692"/>
      <c r="I711" s="692"/>
      <c r="J711" s="692"/>
      <c r="K711" s="692"/>
      <c r="L711" s="692"/>
      <c r="M711" s="692"/>
      <c r="N711" s="692"/>
      <c r="O711" s="692"/>
      <c r="P711" s="692"/>
      <c r="Q711" s="173"/>
      <c r="R711" s="173"/>
      <c r="S711" s="173"/>
      <c r="T711" s="173"/>
      <c r="U711" s="173"/>
      <c r="V711" s="173"/>
      <c r="W711" s="173"/>
      <c r="X711" s="173"/>
      <c r="Y711" s="173"/>
      <c r="Z711" s="173"/>
      <c r="AA711" s="173"/>
      <c r="AB711" s="173"/>
      <c r="AC711" s="173"/>
      <c r="AD711" s="173"/>
      <c r="AE711" s="173"/>
      <c r="AF711" s="173"/>
      <c r="AG711" s="173"/>
      <c r="AH711" s="173"/>
      <c r="AI711" s="173"/>
      <c r="AJ711" s="173"/>
      <c r="AK711" s="173"/>
      <c r="AL711" s="173"/>
      <c r="AM711" s="173"/>
      <c r="AN711" s="173"/>
      <c r="AO711" s="173"/>
      <c r="AP711" s="173"/>
    </row>
    <row r="712" spans="6:42">
      <c r="F712" s="692"/>
      <c r="G712" s="692"/>
      <c r="H712" s="692"/>
      <c r="I712" s="692"/>
      <c r="J712" s="692"/>
      <c r="K712" s="692"/>
      <c r="L712" s="692"/>
      <c r="M712" s="692"/>
      <c r="N712" s="692"/>
      <c r="O712" s="692"/>
      <c r="P712" s="692"/>
      <c r="Q712" s="173"/>
      <c r="R712" s="173"/>
      <c r="S712" s="173"/>
      <c r="T712" s="173"/>
      <c r="U712" s="173"/>
      <c r="V712" s="173"/>
      <c r="W712" s="173"/>
      <c r="X712" s="173"/>
      <c r="Y712" s="173"/>
      <c r="Z712" s="173"/>
      <c r="AA712" s="173"/>
      <c r="AB712" s="173"/>
      <c r="AC712" s="173"/>
      <c r="AD712" s="173"/>
      <c r="AE712" s="173"/>
      <c r="AF712" s="173"/>
      <c r="AG712" s="173"/>
      <c r="AH712" s="173"/>
      <c r="AI712" s="173"/>
      <c r="AJ712" s="173"/>
      <c r="AK712" s="173"/>
      <c r="AL712" s="173"/>
      <c r="AM712" s="173"/>
      <c r="AN712" s="173"/>
      <c r="AO712" s="173"/>
      <c r="AP712" s="173"/>
    </row>
    <row r="713" spans="6:42">
      <c r="F713" s="692"/>
      <c r="G713" s="692"/>
      <c r="H713" s="692"/>
      <c r="I713" s="692"/>
      <c r="J713" s="692"/>
      <c r="K713" s="692"/>
      <c r="L713" s="692"/>
      <c r="M713" s="692"/>
      <c r="N713" s="692"/>
      <c r="O713" s="692"/>
      <c r="P713" s="692"/>
      <c r="Q713" s="173"/>
      <c r="R713" s="173"/>
      <c r="S713" s="173"/>
      <c r="T713" s="173"/>
      <c r="U713" s="173"/>
      <c r="V713" s="173"/>
      <c r="W713" s="173"/>
      <c r="X713" s="173"/>
      <c r="Y713" s="173"/>
      <c r="Z713" s="173"/>
      <c r="AA713" s="173"/>
      <c r="AB713" s="173"/>
      <c r="AC713" s="173"/>
      <c r="AD713" s="173"/>
      <c r="AE713" s="173"/>
      <c r="AF713" s="173"/>
      <c r="AG713" s="173"/>
      <c r="AH713" s="173"/>
      <c r="AI713" s="173"/>
      <c r="AJ713" s="173"/>
      <c r="AK713" s="173"/>
      <c r="AL713" s="173"/>
      <c r="AM713" s="173"/>
      <c r="AN713" s="173"/>
      <c r="AO713" s="173"/>
      <c r="AP713" s="173"/>
    </row>
    <row r="714" spans="6:42">
      <c r="F714" s="692"/>
      <c r="G714" s="692"/>
      <c r="H714" s="692"/>
      <c r="I714" s="692"/>
      <c r="J714" s="692"/>
      <c r="K714" s="692"/>
      <c r="L714" s="692"/>
      <c r="M714" s="692"/>
      <c r="N714" s="692"/>
      <c r="O714" s="692"/>
      <c r="P714" s="692"/>
      <c r="Q714" s="173"/>
      <c r="R714" s="173"/>
      <c r="S714" s="173"/>
      <c r="T714" s="173"/>
      <c r="U714" s="173"/>
      <c r="V714" s="173"/>
      <c r="W714" s="173"/>
      <c r="X714" s="173"/>
      <c r="Y714" s="173"/>
      <c r="Z714" s="173"/>
      <c r="AA714" s="173"/>
      <c r="AB714" s="173"/>
      <c r="AC714" s="173"/>
      <c r="AD714" s="173"/>
      <c r="AE714" s="173"/>
      <c r="AF714" s="173"/>
      <c r="AG714" s="173"/>
      <c r="AH714" s="173"/>
      <c r="AI714" s="173"/>
      <c r="AJ714" s="173"/>
      <c r="AK714" s="173"/>
      <c r="AL714" s="173"/>
      <c r="AM714" s="173"/>
      <c r="AN714" s="173"/>
      <c r="AO714" s="173"/>
      <c r="AP714" s="173"/>
    </row>
    <row r="715" spans="6:42">
      <c r="F715" s="692"/>
      <c r="G715" s="692"/>
      <c r="H715" s="692"/>
      <c r="I715" s="692"/>
      <c r="J715" s="692"/>
      <c r="K715" s="692"/>
      <c r="L715" s="692"/>
      <c r="M715" s="692"/>
      <c r="N715" s="692"/>
      <c r="O715" s="692"/>
      <c r="P715" s="692"/>
      <c r="Q715" s="173"/>
      <c r="R715" s="173"/>
      <c r="S715" s="173"/>
      <c r="T715" s="173"/>
      <c r="U715" s="173"/>
      <c r="V715" s="173"/>
      <c r="W715" s="173"/>
      <c r="X715" s="173"/>
      <c r="Y715" s="173"/>
      <c r="Z715" s="173"/>
      <c r="AA715" s="173"/>
      <c r="AB715" s="173"/>
      <c r="AC715" s="173"/>
      <c r="AD715" s="173"/>
      <c r="AE715" s="173"/>
      <c r="AF715" s="173"/>
      <c r="AG715" s="173"/>
      <c r="AH715" s="173"/>
      <c r="AI715" s="173"/>
      <c r="AJ715" s="173"/>
      <c r="AK715" s="173"/>
      <c r="AL715" s="173"/>
      <c r="AM715" s="173"/>
      <c r="AN715" s="173"/>
      <c r="AO715" s="173"/>
      <c r="AP715" s="173"/>
    </row>
    <row r="716" spans="6:42">
      <c r="F716" s="692"/>
      <c r="G716" s="692"/>
      <c r="H716" s="692"/>
      <c r="I716" s="692"/>
      <c r="J716" s="692"/>
      <c r="K716" s="692"/>
      <c r="L716" s="692"/>
      <c r="M716" s="692"/>
      <c r="N716" s="692"/>
      <c r="O716" s="692"/>
      <c r="P716" s="692"/>
      <c r="Q716" s="173"/>
      <c r="R716" s="173"/>
      <c r="S716" s="173"/>
      <c r="T716" s="173"/>
      <c r="U716" s="173"/>
      <c r="V716" s="173"/>
      <c r="W716" s="173"/>
      <c r="X716" s="173"/>
      <c r="Y716" s="173"/>
      <c r="Z716" s="173"/>
      <c r="AA716" s="173"/>
      <c r="AB716" s="173"/>
      <c r="AC716" s="173"/>
      <c r="AD716" s="173"/>
      <c r="AE716" s="173"/>
      <c r="AF716" s="173"/>
      <c r="AG716" s="173"/>
      <c r="AH716" s="173"/>
      <c r="AI716" s="173"/>
      <c r="AJ716" s="173"/>
      <c r="AK716" s="173"/>
      <c r="AL716" s="173"/>
      <c r="AM716" s="173"/>
      <c r="AN716" s="173"/>
      <c r="AO716" s="173"/>
      <c r="AP716" s="173"/>
    </row>
    <row r="717" spans="6:42">
      <c r="F717" s="692"/>
      <c r="G717" s="692"/>
      <c r="H717" s="692"/>
      <c r="I717" s="692"/>
      <c r="J717" s="692"/>
      <c r="K717" s="692"/>
      <c r="L717" s="692"/>
      <c r="M717" s="692"/>
      <c r="N717" s="692"/>
      <c r="O717" s="692"/>
      <c r="P717" s="692"/>
      <c r="Q717" s="173"/>
      <c r="R717" s="173"/>
      <c r="S717" s="173"/>
      <c r="T717" s="173"/>
      <c r="U717" s="173"/>
      <c r="V717" s="173"/>
      <c r="W717" s="173"/>
      <c r="X717" s="173"/>
      <c r="Y717" s="173"/>
      <c r="Z717" s="173"/>
      <c r="AA717" s="173"/>
      <c r="AB717" s="173"/>
      <c r="AC717" s="173"/>
      <c r="AD717" s="173"/>
      <c r="AE717" s="173"/>
      <c r="AF717" s="173"/>
      <c r="AG717" s="173"/>
      <c r="AH717" s="173"/>
      <c r="AI717" s="173"/>
      <c r="AJ717" s="173"/>
      <c r="AK717" s="173"/>
      <c r="AL717" s="173"/>
      <c r="AM717" s="173"/>
      <c r="AN717" s="173"/>
      <c r="AO717" s="173"/>
      <c r="AP717" s="173"/>
    </row>
    <row r="718" spans="6:42">
      <c r="F718" s="692"/>
      <c r="G718" s="692"/>
      <c r="H718" s="692"/>
      <c r="I718" s="692"/>
      <c r="J718" s="692"/>
      <c r="K718" s="692"/>
      <c r="L718" s="692"/>
      <c r="M718" s="692"/>
      <c r="N718" s="692"/>
      <c r="O718" s="692"/>
      <c r="P718" s="692"/>
      <c r="Q718" s="173"/>
      <c r="R718" s="173"/>
      <c r="S718" s="173"/>
      <c r="T718" s="173"/>
      <c r="U718" s="173"/>
      <c r="V718" s="173"/>
      <c r="W718" s="173"/>
      <c r="X718" s="173"/>
      <c r="Y718" s="173"/>
      <c r="Z718" s="173"/>
      <c r="AA718" s="173"/>
      <c r="AB718" s="173"/>
      <c r="AC718" s="173"/>
      <c r="AD718" s="173"/>
      <c r="AE718" s="173"/>
      <c r="AF718" s="173"/>
      <c r="AG718" s="173"/>
      <c r="AH718" s="173"/>
      <c r="AI718" s="173"/>
      <c r="AJ718" s="173"/>
      <c r="AK718" s="173"/>
      <c r="AL718" s="173"/>
      <c r="AM718" s="173"/>
      <c r="AN718" s="173"/>
      <c r="AO718" s="173"/>
      <c r="AP718" s="173"/>
    </row>
    <row r="719" spans="6:42">
      <c r="F719" s="692"/>
      <c r="G719" s="692"/>
      <c r="H719" s="692"/>
      <c r="I719" s="692"/>
      <c r="J719" s="692"/>
      <c r="K719" s="692"/>
      <c r="L719" s="692"/>
      <c r="M719" s="692"/>
      <c r="N719" s="692"/>
      <c r="O719" s="692"/>
      <c r="P719" s="692"/>
      <c r="Q719" s="173"/>
      <c r="R719" s="173"/>
      <c r="S719" s="173"/>
      <c r="T719" s="173"/>
      <c r="U719" s="173"/>
      <c r="V719" s="173"/>
      <c r="W719" s="173"/>
      <c r="X719" s="173"/>
      <c r="Y719" s="173"/>
      <c r="Z719" s="173"/>
      <c r="AA719" s="173"/>
      <c r="AB719" s="173"/>
      <c r="AC719" s="173"/>
      <c r="AD719" s="173"/>
      <c r="AE719" s="173"/>
      <c r="AF719" s="173"/>
      <c r="AG719" s="173"/>
      <c r="AH719" s="173"/>
      <c r="AI719" s="173"/>
      <c r="AJ719" s="173"/>
      <c r="AK719" s="173"/>
      <c r="AL719" s="173"/>
      <c r="AM719" s="173"/>
      <c r="AN719" s="173"/>
      <c r="AO719" s="173"/>
      <c r="AP719" s="173"/>
    </row>
    <row r="720" spans="6:42">
      <c r="F720" s="692"/>
      <c r="G720" s="692"/>
      <c r="H720" s="692"/>
      <c r="I720" s="692"/>
      <c r="J720" s="692"/>
      <c r="K720" s="692"/>
      <c r="L720" s="692"/>
      <c r="M720" s="692"/>
      <c r="N720" s="692"/>
      <c r="O720" s="692"/>
      <c r="P720" s="692"/>
      <c r="Q720" s="173"/>
      <c r="R720" s="173"/>
      <c r="S720" s="173"/>
      <c r="T720" s="173"/>
      <c r="U720" s="173"/>
      <c r="V720" s="173"/>
      <c r="W720" s="173"/>
      <c r="X720" s="173"/>
      <c r="Y720" s="173"/>
      <c r="Z720" s="173"/>
      <c r="AA720" s="173"/>
      <c r="AB720" s="173"/>
      <c r="AC720" s="173"/>
      <c r="AD720" s="173"/>
      <c r="AE720" s="173"/>
      <c r="AF720" s="173"/>
      <c r="AG720" s="173"/>
      <c r="AH720" s="173"/>
      <c r="AI720" s="173"/>
      <c r="AJ720" s="173"/>
      <c r="AK720" s="173"/>
      <c r="AL720" s="173"/>
      <c r="AM720" s="173"/>
      <c r="AN720" s="173"/>
      <c r="AO720" s="173"/>
      <c r="AP720" s="173"/>
    </row>
    <row r="721" spans="6:42">
      <c r="F721" s="692"/>
      <c r="G721" s="692"/>
      <c r="H721" s="692"/>
      <c r="I721" s="692"/>
      <c r="J721" s="692"/>
      <c r="K721" s="692"/>
      <c r="L721" s="692"/>
      <c r="M721" s="692"/>
      <c r="N721" s="692"/>
      <c r="O721" s="692"/>
      <c r="P721" s="692"/>
      <c r="Q721" s="173"/>
      <c r="R721" s="173"/>
      <c r="S721" s="173"/>
      <c r="T721" s="173"/>
      <c r="U721" s="173"/>
      <c r="V721" s="173"/>
      <c r="W721" s="173"/>
      <c r="X721" s="173"/>
      <c r="Y721" s="173"/>
      <c r="Z721" s="173"/>
      <c r="AA721" s="173"/>
      <c r="AB721" s="173"/>
      <c r="AC721" s="173"/>
      <c r="AD721" s="173"/>
      <c r="AE721" s="173"/>
      <c r="AF721" s="173"/>
      <c r="AG721" s="173"/>
      <c r="AH721" s="173"/>
      <c r="AI721" s="173"/>
      <c r="AJ721" s="173"/>
      <c r="AK721" s="173"/>
      <c r="AL721" s="173"/>
      <c r="AM721" s="173"/>
      <c r="AN721" s="173"/>
      <c r="AO721" s="173"/>
      <c r="AP721" s="173"/>
    </row>
    <row r="722" spans="6:42">
      <c r="F722" s="692"/>
      <c r="G722" s="692"/>
      <c r="H722" s="692"/>
      <c r="I722" s="692"/>
      <c r="J722" s="692"/>
      <c r="K722" s="692"/>
      <c r="L722" s="692"/>
      <c r="M722" s="692"/>
      <c r="N722" s="692"/>
      <c r="O722" s="692"/>
      <c r="P722" s="692"/>
      <c r="Q722" s="173"/>
      <c r="R722" s="173"/>
      <c r="S722" s="173"/>
      <c r="T722" s="173"/>
      <c r="U722" s="173"/>
      <c r="V722" s="173"/>
      <c r="W722" s="173"/>
      <c r="X722" s="173"/>
      <c r="Y722" s="173"/>
      <c r="Z722" s="173"/>
      <c r="AA722" s="173"/>
      <c r="AB722" s="173"/>
      <c r="AC722" s="173"/>
      <c r="AD722" s="173"/>
      <c r="AE722" s="173"/>
      <c r="AF722" s="173"/>
      <c r="AG722" s="173"/>
      <c r="AH722" s="173"/>
      <c r="AI722" s="173"/>
      <c r="AJ722" s="173"/>
      <c r="AK722" s="173"/>
      <c r="AL722" s="173"/>
      <c r="AM722" s="173"/>
      <c r="AN722" s="173"/>
      <c r="AO722" s="173"/>
      <c r="AP722" s="173"/>
    </row>
    <row r="723" spans="6:42">
      <c r="F723" s="692"/>
      <c r="G723" s="692"/>
      <c r="H723" s="692"/>
      <c r="I723" s="692"/>
      <c r="J723" s="692"/>
      <c r="K723" s="692"/>
      <c r="L723" s="692"/>
      <c r="M723" s="692"/>
      <c r="N723" s="692"/>
      <c r="O723" s="692"/>
      <c r="P723" s="692"/>
      <c r="Q723" s="173"/>
      <c r="R723" s="173"/>
      <c r="S723" s="173"/>
      <c r="T723" s="173"/>
      <c r="U723" s="173"/>
      <c r="V723" s="173"/>
      <c r="W723" s="173"/>
      <c r="X723" s="173"/>
      <c r="Y723" s="173"/>
      <c r="Z723" s="173"/>
      <c r="AA723" s="173"/>
      <c r="AB723" s="173"/>
      <c r="AC723" s="173"/>
      <c r="AD723" s="173"/>
      <c r="AE723" s="173"/>
      <c r="AF723" s="173"/>
      <c r="AG723" s="173"/>
      <c r="AH723" s="173"/>
      <c r="AI723" s="173"/>
      <c r="AJ723" s="173"/>
      <c r="AK723" s="173"/>
      <c r="AL723" s="173"/>
      <c r="AM723" s="173"/>
      <c r="AN723" s="173"/>
      <c r="AO723" s="173"/>
      <c r="AP723" s="173"/>
    </row>
    <row r="724" spans="6:42">
      <c r="F724" s="692"/>
      <c r="G724" s="692"/>
      <c r="H724" s="692"/>
      <c r="I724" s="692"/>
      <c r="J724" s="692"/>
      <c r="K724" s="692"/>
      <c r="L724" s="692"/>
      <c r="M724" s="692"/>
      <c r="N724" s="692"/>
      <c r="O724" s="692"/>
      <c r="P724" s="692"/>
      <c r="Q724" s="173"/>
      <c r="R724" s="173"/>
      <c r="S724" s="173"/>
      <c r="T724" s="173"/>
      <c r="U724" s="173"/>
      <c r="V724" s="173"/>
      <c r="W724" s="173"/>
      <c r="X724" s="173"/>
      <c r="Y724" s="173"/>
      <c r="Z724" s="173"/>
      <c r="AA724" s="173"/>
      <c r="AB724" s="173"/>
      <c r="AC724" s="173"/>
      <c r="AD724" s="173"/>
      <c r="AE724" s="173"/>
      <c r="AF724" s="173"/>
      <c r="AG724" s="173"/>
      <c r="AH724" s="173"/>
      <c r="AI724" s="173"/>
      <c r="AJ724" s="173"/>
      <c r="AK724" s="173"/>
      <c r="AL724" s="173"/>
      <c r="AM724" s="173"/>
      <c r="AN724" s="173"/>
      <c r="AO724" s="173"/>
      <c r="AP724" s="173"/>
    </row>
    <row r="725" spans="6:42">
      <c r="F725" s="692"/>
      <c r="G725" s="692"/>
      <c r="H725" s="692"/>
      <c r="I725" s="692"/>
      <c r="J725" s="692"/>
      <c r="K725" s="692"/>
      <c r="L725" s="692"/>
      <c r="M725" s="692"/>
      <c r="N725" s="692"/>
      <c r="O725" s="692"/>
      <c r="P725" s="692"/>
      <c r="Q725" s="173"/>
      <c r="R725" s="173"/>
      <c r="S725" s="173"/>
      <c r="T725" s="173"/>
      <c r="U725" s="173"/>
      <c r="V725" s="173"/>
      <c r="W725" s="173"/>
      <c r="X725" s="173"/>
      <c r="Y725" s="173"/>
      <c r="Z725" s="173"/>
      <c r="AA725" s="173"/>
      <c r="AB725" s="173"/>
      <c r="AC725" s="173"/>
      <c r="AD725" s="173"/>
      <c r="AE725" s="173"/>
      <c r="AF725" s="173"/>
      <c r="AG725" s="173"/>
      <c r="AH725" s="173"/>
      <c r="AI725" s="173"/>
      <c r="AJ725" s="173"/>
      <c r="AK725" s="173"/>
      <c r="AL725" s="173"/>
      <c r="AM725" s="173"/>
      <c r="AN725" s="173"/>
      <c r="AO725" s="173"/>
      <c r="AP725" s="173"/>
    </row>
    <row r="726" spans="6:42">
      <c r="F726" s="692"/>
      <c r="G726" s="692"/>
      <c r="H726" s="692"/>
      <c r="I726" s="692"/>
      <c r="J726" s="692"/>
      <c r="K726" s="692"/>
      <c r="L726" s="692"/>
      <c r="M726" s="692"/>
      <c r="N726" s="692"/>
      <c r="O726" s="692"/>
      <c r="P726" s="692"/>
      <c r="Q726" s="173"/>
      <c r="R726" s="173"/>
      <c r="S726" s="173"/>
      <c r="T726" s="173"/>
      <c r="U726" s="173"/>
      <c r="V726" s="173"/>
      <c r="W726" s="173"/>
      <c r="X726" s="173"/>
      <c r="Y726" s="173"/>
      <c r="Z726" s="173"/>
      <c r="AA726" s="173"/>
      <c r="AB726" s="173"/>
      <c r="AC726" s="173"/>
      <c r="AD726" s="173"/>
      <c r="AE726" s="173"/>
      <c r="AF726" s="173"/>
      <c r="AG726" s="173"/>
      <c r="AH726" s="173"/>
      <c r="AI726" s="173"/>
      <c r="AJ726" s="173"/>
      <c r="AK726" s="173"/>
      <c r="AL726" s="173"/>
      <c r="AM726" s="173"/>
      <c r="AN726" s="173"/>
      <c r="AO726" s="173"/>
      <c r="AP726" s="173"/>
    </row>
    <row r="727" spans="6:42">
      <c r="F727" s="692"/>
      <c r="G727" s="692"/>
      <c r="H727" s="692"/>
      <c r="I727" s="692"/>
      <c r="J727" s="692"/>
      <c r="K727" s="692"/>
      <c r="L727" s="692"/>
      <c r="M727" s="692"/>
      <c r="N727" s="692"/>
      <c r="O727" s="692"/>
      <c r="P727" s="692"/>
      <c r="Q727" s="173"/>
      <c r="R727" s="173"/>
      <c r="S727" s="173"/>
      <c r="T727" s="173"/>
      <c r="U727" s="173"/>
      <c r="V727" s="173"/>
      <c r="W727" s="173"/>
      <c r="X727" s="173"/>
      <c r="Y727" s="173"/>
      <c r="Z727" s="173"/>
      <c r="AA727" s="173"/>
      <c r="AB727" s="173"/>
      <c r="AC727" s="173"/>
      <c r="AD727" s="173"/>
      <c r="AE727" s="173"/>
      <c r="AF727" s="173"/>
      <c r="AG727" s="173"/>
      <c r="AH727" s="173"/>
      <c r="AI727" s="173"/>
      <c r="AJ727" s="173"/>
      <c r="AK727" s="173"/>
      <c r="AL727" s="173"/>
      <c r="AM727" s="173"/>
      <c r="AN727" s="173"/>
      <c r="AO727" s="173"/>
      <c r="AP727" s="173"/>
    </row>
    <row r="728" spans="6:42">
      <c r="F728" s="692"/>
      <c r="G728" s="692"/>
      <c r="H728" s="692"/>
      <c r="I728" s="692"/>
      <c r="J728" s="692"/>
      <c r="K728" s="692"/>
      <c r="L728" s="692"/>
      <c r="M728" s="692"/>
      <c r="N728" s="692"/>
      <c r="O728" s="692"/>
      <c r="P728" s="692"/>
      <c r="Q728" s="173"/>
      <c r="R728" s="173"/>
      <c r="S728" s="173"/>
      <c r="T728" s="173"/>
      <c r="U728" s="173"/>
      <c r="V728" s="173"/>
      <c r="W728" s="173"/>
      <c r="X728" s="173"/>
      <c r="Y728" s="173"/>
      <c r="Z728" s="173"/>
      <c r="AA728" s="173"/>
      <c r="AB728" s="173"/>
      <c r="AC728" s="173"/>
      <c r="AD728" s="173"/>
      <c r="AE728" s="173"/>
      <c r="AF728" s="173"/>
      <c r="AG728" s="173"/>
      <c r="AH728" s="173"/>
      <c r="AI728" s="173"/>
      <c r="AJ728" s="173"/>
      <c r="AK728" s="173"/>
      <c r="AL728" s="173"/>
      <c r="AM728" s="173"/>
      <c r="AN728" s="173"/>
      <c r="AO728" s="173"/>
      <c r="AP728" s="173"/>
    </row>
    <row r="729" spans="6:42">
      <c r="F729" s="692"/>
      <c r="G729" s="692"/>
      <c r="H729" s="692"/>
      <c r="I729" s="692"/>
      <c r="J729" s="692"/>
      <c r="K729" s="692"/>
      <c r="L729" s="692"/>
      <c r="M729" s="692"/>
      <c r="N729" s="692"/>
      <c r="O729" s="692"/>
      <c r="P729" s="692"/>
      <c r="Q729" s="173"/>
      <c r="R729" s="173"/>
      <c r="S729" s="173"/>
      <c r="T729" s="173"/>
      <c r="U729" s="173"/>
      <c r="V729" s="173"/>
      <c r="W729" s="173"/>
      <c r="X729" s="173"/>
      <c r="Y729" s="173"/>
      <c r="Z729" s="173"/>
      <c r="AA729" s="173"/>
      <c r="AB729" s="173"/>
      <c r="AC729" s="173"/>
      <c r="AD729" s="173"/>
      <c r="AE729" s="173"/>
      <c r="AF729" s="173"/>
      <c r="AG729" s="173"/>
      <c r="AH729" s="173"/>
      <c r="AI729" s="173"/>
      <c r="AJ729" s="173"/>
      <c r="AK729" s="173"/>
      <c r="AL729" s="173"/>
      <c r="AM729" s="173"/>
      <c r="AN729" s="173"/>
      <c r="AO729" s="173"/>
      <c r="AP729" s="173"/>
    </row>
    <row r="730" spans="6:42">
      <c r="F730" s="692"/>
      <c r="G730" s="692"/>
      <c r="H730" s="692"/>
      <c r="I730" s="692"/>
      <c r="J730" s="692"/>
      <c r="K730" s="692"/>
      <c r="L730" s="692"/>
      <c r="M730" s="692"/>
      <c r="N730" s="692"/>
      <c r="O730" s="692"/>
      <c r="P730" s="692"/>
      <c r="Q730" s="173"/>
      <c r="R730" s="173"/>
      <c r="S730" s="173"/>
      <c r="T730" s="173"/>
      <c r="U730" s="173"/>
      <c r="V730" s="173"/>
      <c r="W730" s="173"/>
      <c r="X730" s="173"/>
      <c r="Y730" s="173"/>
      <c r="Z730" s="173"/>
      <c r="AA730" s="173"/>
      <c r="AB730" s="173"/>
      <c r="AC730" s="173"/>
      <c r="AD730" s="173"/>
      <c r="AE730" s="173"/>
      <c r="AF730" s="173"/>
      <c r="AG730" s="173"/>
      <c r="AH730" s="173"/>
      <c r="AI730" s="173"/>
      <c r="AJ730" s="173"/>
      <c r="AK730" s="173"/>
      <c r="AL730" s="173"/>
      <c r="AM730" s="173"/>
      <c r="AN730" s="173"/>
      <c r="AO730" s="173"/>
      <c r="AP730" s="173"/>
    </row>
    <row r="731" spans="6:42">
      <c r="F731" s="692"/>
      <c r="G731" s="692"/>
      <c r="H731" s="692"/>
      <c r="I731" s="692"/>
      <c r="J731" s="692"/>
      <c r="K731" s="692"/>
      <c r="L731" s="692"/>
      <c r="M731" s="692"/>
      <c r="N731" s="692"/>
      <c r="O731" s="692"/>
      <c r="P731" s="692"/>
      <c r="Q731" s="173"/>
      <c r="R731" s="173"/>
      <c r="S731" s="173"/>
      <c r="T731" s="173"/>
      <c r="U731" s="173"/>
      <c r="V731" s="173"/>
      <c r="W731" s="173"/>
      <c r="X731" s="173"/>
      <c r="Y731" s="173"/>
      <c r="Z731" s="173"/>
      <c r="AA731" s="173"/>
      <c r="AB731" s="173"/>
      <c r="AC731" s="173"/>
      <c r="AD731" s="173"/>
      <c r="AE731" s="173"/>
      <c r="AF731" s="173"/>
      <c r="AG731" s="173"/>
      <c r="AH731" s="173"/>
      <c r="AI731" s="173"/>
      <c r="AJ731" s="173"/>
      <c r="AK731" s="173"/>
      <c r="AL731" s="173"/>
      <c r="AM731" s="173"/>
      <c r="AN731" s="173"/>
      <c r="AO731" s="173"/>
      <c r="AP731" s="173"/>
    </row>
    <row r="732" spans="6:42">
      <c r="F732" s="692"/>
      <c r="G732" s="692"/>
      <c r="H732" s="692"/>
      <c r="I732" s="692"/>
      <c r="J732" s="692"/>
      <c r="K732" s="692"/>
      <c r="L732" s="692"/>
      <c r="M732" s="692"/>
      <c r="N732" s="692"/>
      <c r="O732" s="692"/>
      <c r="P732" s="692"/>
      <c r="Q732" s="173"/>
      <c r="R732" s="173"/>
      <c r="S732" s="173"/>
      <c r="T732" s="173"/>
      <c r="U732" s="173"/>
      <c r="V732" s="173"/>
      <c r="W732" s="173"/>
      <c r="X732" s="173"/>
      <c r="Y732" s="173"/>
      <c r="Z732" s="173"/>
      <c r="AA732" s="173"/>
      <c r="AB732" s="173"/>
      <c r="AC732" s="173"/>
      <c r="AD732" s="173"/>
      <c r="AE732" s="173"/>
      <c r="AF732" s="173"/>
      <c r="AG732" s="173"/>
      <c r="AH732" s="173"/>
      <c r="AI732" s="173"/>
      <c r="AJ732" s="173"/>
      <c r="AK732" s="173"/>
      <c r="AL732" s="173"/>
      <c r="AM732" s="173"/>
      <c r="AN732" s="173"/>
      <c r="AO732" s="173"/>
      <c r="AP732" s="173"/>
    </row>
    <row r="733" spans="6:42">
      <c r="F733" s="692"/>
      <c r="G733" s="692"/>
      <c r="H733" s="692"/>
      <c r="I733" s="692"/>
      <c r="J733" s="692"/>
      <c r="K733" s="692"/>
      <c r="L733" s="692"/>
      <c r="M733" s="692"/>
      <c r="N733" s="692"/>
      <c r="O733" s="692"/>
      <c r="P733" s="692"/>
      <c r="Q733" s="173"/>
      <c r="R733" s="173"/>
      <c r="S733" s="173"/>
      <c r="T733" s="173"/>
      <c r="U733" s="173"/>
      <c r="V733" s="173"/>
      <c r="W733" s="173"/>
      <c r="X733" s="173"/>
      <c r="Y733" s="173"/>
      <c r="Z733" s="173"/>
      <c r="AA733" s="173"/>
      <c r="AB733" s="173"/>
      <c r="AC733" s="173"/>
      <c r="AD733" s="173"/>
      <c r="AE733" s="173"/>
      <c r="AF733" s="173"/>
      <c r="AG733" s="173"/>
      <c r="AH733" s="173"/>
      <c r="AI733" s="173"/>
      <c r="AJ733" s="173"/>
      <c r="AK733" s="173"/>
      <c r="AL733" s="173"/>
      <c r="AM733" s="173"/>
      <c r="AN733" s="173"/>
      <c r="AO733" s="173"/>
      <c r="AP733" s="173"/>
    </row>
    <row r="734" spans="6:42">
      <c r="F734" s="692"/>
      <c r="G734" s="692"/>
      <c r="H734" s="692"/>
      <c r="I734" s="692"/>
      <c r="J734" s="692"/>
      <c r="K734" s="692"/>
      <c r="L734" s="692"/>
      <c r="M734" s="692"/>
      <c r="N734" s="692"/>
      <c r="O734" s="692"/>
      <c r="P734" s="692"/>
      <c r="Q734" s="173"/>
      <c r="R734" s="173"/>
      <c r="S734" s="173"/>
      <c r="T734" s="173"/>
      <c r="U734" s="173"/>
      <c r="V734" s="173"/>
      <c r="W734" s="173"/>
      <c r="X734" s="173"/>
      <c r="Y734" s="173"/>
      <c r="Z734" s="173"/>
      <c r="AA734" s="173"/>
      <c r="AB734" s="173"/>
      <c r="AC734" s="173"/>
      <c r="AD734" s="173"/>
      <c r="AE734" s="173"/>
      <c r="AF734" s="173"/>
      <c r="AG734" s="173"/>
      <c r="AH734" s="173"/>
      <c r="AI734" s="173"/>
      <c r="AJ734" s="173"/>
      <c r="AK734" s="173"/>
      <c r="AL734" s="173"/>
      <c r="AM734" s="173"/>
      <c r="AN734" s="173"/>
      <c r="AO734" s="173"/>
      <c r="AP734" s="173"/>
    </row>
    <row r="735" spans="6:42">
      <c r="F735" s="692"/>
      <c r="G735" s="692"/>
      <c r="H735" s="692"/>
      <c r="I735" s="692"/>
      <c r="J735" s="692"/>
      <c r="K735" s="692"/>
      <c r="L735" s="692"/>
      <c r="M735" s="692"/>
      <c r="N735" s="692"/>
      <c r="O735" s="692"/>
      <c r="P735" s="692"/>
      <c r="Q735" s="173"/>
      <c r="R735" s="173"/>
      <c r="S735" s="173"/>
      <c r="T735" s="173"/>
      <c r="U735" s="173"/>
      <c r="V735" s="173"/>
      <c r="W735" s="173"/>
      <c r="X735" s="173"/>
      <c r="Y735" s="173"/>
      <c r="Z735" s="173"/>
      <c r="AA735" s="173"/>
      <c r="AB735" s="173"/>
      <c r="AC735" s="173"/>
      <c r="AD735" s="173"/>
      <c r="AE735" s="173"/>
      <c r="AF735" s="173"/>
      <c r="AG735" s="173"/>
      <c r="AH735" s="173"/>
      <c r="AI735" s="173"/>
      <c r="AJ735" s="173"/>
      <c r="AK735" s="173"/>
      <c r="AL735" s="173"/>
      <c r="AM735" s="173"/>
      <c r="AN735" s="173"/>
      <c r="AO735" s="173"/>
      <c r="AP735" s="173"/>
    </row>
    <row r="736" spans="6:42">
      <c r="F736" s="692"/>
      <c r="G736" s="692"/>
      <c r="H736" s="692"/>
      <c r="I736" s="692"/>
      <c r="J736" s="692"/>
      <c r="K736" s="692"/>
      <c r="L736" s="692"/>
      <c r="M736" s="692"/>
      <c r="N736" s="692"/>
      <c r="O736" s="692"/>
      <c r="P736" s="692"/>
      <c r="Q736" s="173"/>
      <c r="R736" s="173"/>
      <c r="S736" s="173"/>
      <c r="T736" s="173"/>
      <c r="U736" s="173"/>
      <c r="V736" s="173"/>
      <c r="W736" s="173"/>
      <c r="X736" s="173"/>
      <c r="Y736" s="173"/>
      <c r="Z736" s="173"/>
      <c r="AA736" s="173"/>
      <c r="AB736" s="173"/>
      <c r="AC736" s="173"/>
      <c r="AD736" s="173"/>
      <c r="AE736" s="173"/>
      <c r="AF736" s="173"/>
      <c r="AG736" s="173"/>
      <c r="AH736" s="173"/>
      <c r="AI736" s="173"/>
      <c r="AJ736" s="173"/>
      <c r="AK736" s="173"/>
      <c r="AL736" s="173"/>
      <c r="AM736" s="173"/>
      <c r="AN736" s="173"/>
      <c r="AO736" s="173"/>
      <c r="AP736" s="173"/>
    </row>
    <row r="737" spans="6:42">
      <c r="F737" s="692"/>
      <c r="G737" s="692"/>
      <c r="H737" s="692"/>
      <c r="I737" s="692"/>
      <c r="J737" s="692"/>
      <c r="K737" s="692"/>
      <c r="L737" s="692"/>
      <c r="M737" s="692"/>
      <c r="N737" s="692"/>
      <c r="O737" s="692"/>
      <c r="P737" s="692"/>
      <c r="Q737" s="173"/>
      <c r="R737" s="173"/>
      <c r="S737" s="173"/>
      <c r="T737" s="173"/>
      <c r="U737" s="173"/>
      <c r="V737" s="173"/>
      <c r="W737" s="173"/>
      <c r="X737" s="173"/>
      <c r="Y737" s="173"/>
      <c r="Z737" s="173"/>
      <c r="AA737" s="173"/>
      <c r="AB737" s="173"/>
      <c r="AC737" s="173"/>
      <c r="AD737" s="173"/>
      <c r="AE737" s="173"/>
      <c r="AF737" s="173"/>
      <c r="AG737" s="173"/>
      <c r="AH737" s="173"/>
      <c r="AI737" s="173"/>
      <c r="AJ737" s="173"/>
      <c r="AK737" s="173"/>
      <c r="AL737" s="173"/>
      <c r="AM737" s="173"/>
      <c r="AN737" s="173"/>
      <c r="AO737" s="173"/>
      <c r="AP737" s="173"/>
    </row>
    <row r="738" spans="6:42">
      <c r="F738" s="692"/>
      <c r="G738" s="692"/>
      <c r="H738" s="692"/>
      <c r="I738" s="692"/>
      <c r="J738" s="692"/>
      <c r="K738" s="692"/>
      <c r="L738" s="692"/>
      <c r="M738" s="692"/>
      <c r="N738" s="692"/>
      <c r="O738" s="692"/>
      <c r="P738" s="692"/>
      <c r="Q738" s="173"/>
      <c r="R738" s="173"/>
      <c r="S738" s="173"/>
      <c r="T738" s="173"/>
      <c r="U738" s="173"/>
      <c r="V738" s="173"/>
      <c r="W738" s="173"/>
      <c r="X738" s="173"/>
      <c r="Y738" s="173"/>
      <c r="Z738" s="173"/>
      <c r="AA738" s="173"/>
      <c r="AB738" s="173"/>
      <c r="AC738" s="173"/>
      <c r="AD738" s="173"/>
      <c r="AE738" s="173"/>
      <c r="AF738" s="173"/>
      <c r="AG738" s="173"/>
      <c r="AH738" s="173"/>
      <c r="AI738" s="173"/>
      <c r="AJ738" s="173"/>
      <c r="AK738" s="173"/>
      <c r="AL738" s="173"/>
      <c r="AM738" s="173"/>
      <c r="AN738" s="173"/>
      <c r="AO738" s="173"/>
      <c r="AP738" s="173"/>
    </row>
    <row r="739" spans="6:42">
      <c r="F739" s="692"/>
      <c r="G739" s="692"/>
      <c r="H739" s="692"/>
      <c r="I739" s="692"/>
      <c r="J739" s="692"/>
      <c r="K739" s="692"/>
      <c r="L739" s="692"/>
      <c r="M739" s="692"/>
      <c r="N739" s="692"/>
      <c r="O739" s="692"/>
      <c r="P739" s="692"/>
      <c r="Q739" s="173"/>
      <c r="R739" s="173"/>
      <c r="S739" s="173"/>
      <c r="T739" s="173"/>
      <c r="U739" s="173"/>
      <c r="V739" s="173"/>
      <c r="W739" s="173"/>
      <c r="X739" s="173"/>
      <c r="Y739" s="173"/>
      <c r="Z739" s="173"/>
      <c r="AA739" s="173"/>
      <c r="AB739" s="173"/>
      <c r="AC739" s="173"/>
      <c r="AD739" s="173"/>
      <c r="AE739" s="173"/>
      <c r="AF739" s="173"/>
      <c r="AG739" s="173"/>
      <c r="AH739" s="173"/>
      <c r="AI739" s="173"/>
      <c r="AJ739" s="173"/>
      <c r="AK739" s="173"/>
      <c r="AL739" s="173"/>
      <c r="AM739" s="173"/>
      <c r="AN739" s="173"/>
      <c r="AO739" s="173"/>
      <c r="AP739" s="173"/>
    </row>
    <row r="740" spans="6:42">
      <c r="F740" s="692"/>
      <c r="G740" s="692"/>
      <c r="H740" s="692"/>
      <c r="I740" s="692"/>
      <c r="J740" s="692"/>
      <c r="K740" s="692"/>
      <c r="L740" s="692"/>
      <c r="M740" s="692"/>
      <c r="N740" s="692"/>
      <c r="O740" s="692"/>
      <c r="P740" s="692"/>
      <c r="Q740" s="173"/>
      <c r="R740" s="173"/>
      <c r="S740" s="173"/>
      <c r="T740" s="173"/>
      <c r="U740" s="173"/>
      <c r="V740" s="173"/>
      <c r="W740" s="173"/>
      <c r="X740" s="173"/>
      <c r="Y740" s="173"/>
      <c r="Z740" s="173"/>
      <c r="AA740" s="173"/>
      <c r="AB740" s="173"/>
      <c r="AC740" s="173"/>
      <c r="AD740" s="173"/>
      <c r="AE740" s="173"/>
      <c r="AF740" s="173"/>
      <c r="AG740" s="173"/>
      <c r="AH740" s="173"/>
      <c r="AI740" s="173"/>
      <c r="AJ740" s="173"/>
      <c r="AK740" s="173"/>
      <c r="AL740" s="173"/>
      <c r="AM740" s="173"/>
      <c r="AN740" s="173"/>
      <c r="AO740" s="173"/>
      <c r="AP740" s="173"/>
    </row>
    <row r="741" spans="6:42">
      <c r="F741" s="692"/>
      <c r="G741" s="692"/>
      <c r="H741" s="692"/>
      <c r="I741" s="692"/>
      <c r="J741" s="692"/>
      <c r="K741" s="692"/>
      <c r="L741" s="692"/>
      <c r="M741" s="692"/>
      <c r="N741" s="692"/>
      <c r="O741" s="692"/>
      <c r="P741" s="692"/>
      <c r="Q741" s="173"/>
      <c r="R741" s="173"/>
      <c r="S741" s="173"/>
      <c r="T741" s="173"/>
      <c r="U741" s="173"/>
      <c r="V741" s="173"/>
      <c r="W741" s="173"/>
      <c r="X741" s="173"/>
      <c r="Y741" s="173"/>
      <c r="Z741" s="173"/>
      <c r="AA741" s="173"/>
      <c r="AB741" s="173"/>
      <c r="AC741" s="173"/>
      <c r="AD741" s="173"/>
      <c r="AE741" s="173"/>
      <c r="AF741" s="173"/>
      <c r="AG741" s="173"/>
      <c r="AH741" s="173"/>
      <c r="AI741" s="173"/>
      <c r="AJ741" s="173"/>
      <c r="AK741" s="173"/>
      <c r="AL741" s="173"/>
      <c r="AM741" s="173"/>
      <c r="AN741" s="173"/>
      <c r="AO741" s="173"/>
      <c r="AP741" s="173"/>
    </row>
    <row r="742" spans="6:42">
      <c r="F742" s="692"/>
      <c r="G742" s="692"/>
      <c r="H742" s="692"/>
      <c r="I742" s="692"/>
      <c r="J742" s="692"/>
      <c r="K742" s="692"/>
      <c r="L742" s="692"/>
      <c r="M742" s="692"/>
      <c r="N742" s="692"/>
      <c r="O742" s="692"/>
      <c r="P742" s="692"/>
      <c r="Q742" s="173"/>
      <c r="R742" s="173"/>
      <c r="S742" s="173"/>
      <c r="T742" s="173"/>
      <c r="U742" s="173"/>
      <c r="V742" s="173"/>
      <c r="W742" s="173"/>
      <c r="X742" s="173"/>
      <c r="Y742" s="173"/>
      <c r="Z742" s="173"/>
      <c r="AA742" s="173"/>
      <c r="AB742" s="173"/>
      <c r="AC742" s="173"/>
      <c r="AD742" s="173"/>
      <c r="AE742" s="173"/>
      <c r="AF742" s="173"/>
      <c r="AG742" s="173"/>
      <c r="AH742" s="173"/>
      <c r="AI742" s="173"/>
      <c r="AJ742" s="173"/>
      <c r="AK742" s="173"/>
      <c r="AL742" s="173"/>
      <c r="AM742" s="173"/>
      <c r="AN742" s="173"/>
      <c r="AO742" s="173"/>
      <c r="AP742" s="173"/>
    </row>
    <row r="743" spans="6:42">
      <c r="F743" s="692"/>
      <c r="G743" s="692"/>
      <c r="H743" s="692"/>
      <c r="I743" s="692"/>
      <c r="J743" s="692"/>
      <c r="K743" s="692"/>
      <c r="L743" s="692"/>
      <c r="M743" s="692"/>
      <c r="N743" s="692"/>
      <c r="O743" s="692"/>
      <c r="P743" s="692"/>
      <c r="Q743" s="173"/>
      <c r="R743" s="173"/>
      <c r="S743" s="173"/>
      <c r="T743" s="173"/>
      <c r="U743" s="173"/>
      <c r="V743" s="173"/>
      <c r="W743" s="173"/>
      <c r="X743" s="173"/>
      <c r="Y743" s="173"/>
      <c r="Z743" s="173"/>
      <c r="AA743" s="173"/>
      <c r="AB743" s="173"/>
      <c r="AC743" s="173"/>
      <c r="AD743" s="173"/>
      <c r="AE743" s="173"/>
      <c r="AF743" s="173"/>
      <c r="AG743" s="173"/>
      <c r="AH743" s="173"/>
      <c r="AI743" s="173"/>
      <c r="AJ743" s="173"/>
      <c r="AK743" s="173"/>
      <c r="AL743" s="173"/>
      <c r="AM743" s="173"/>
      <c r="AN743" s="173"/>
      <c r="AO743" s="173"/>
      <c r="AP743" s="173"/>
    </row>
    <row r="744" spans="6:42">
      <c r="F744" s="692"/>
      <c r="G744" s="692"/>
      <c r="H744" s="692"/>
      <c r="I744" s="692"/>
      <c r="J744" s="692"/>
      <c r="K744" s="692"/>
      <c r="L744" s="692"/>
      <c r="M744" s="692"/>
      <c r="N744" s="692"/>
      <c r="O744" s="692"/>
      <c r="P744" s="692"/>
      <c r="Q744" s="173"/>
      <c r="R744" s="173"/>
      <c r="S744" s="173"/>
      <c r="T744" s="173"/>
      <c r="U744" s="173"/>
      <c r="V744" s="173"/>
      <c r="W744" s="173"/>
      <c r="X744" s="173"/>
      <c r="Y744" s="173"/>
      <c r="Z744" s="173"/>
      <c r="AA744" s="173"/>
      <c r="AB744" s="173"/>
      <c r="AC744" s="173"/>
      <c r="AD744" s="173"/>
      <c r="AE744" s="173"/>
      <c r="AF744" s="173"/>
      <c r="AG744" s="173"/>
      <c r="AH744" s="173"/>
      <c r="AI744" s="173"/>
      <c r="AJ744" s="173"/>
      <c r="AK744" s="173"/>
      <c r="AL744" s="173"/>
      <c r="AM744" s="173"/>
      <c r="AN744" s="173"/>
      <c r="AO744" s="173"/>
      <c r="AP744" s="173"/>
    </row>
    <row r="745" spans="6:42">
      <c r="F745" s="692"/>
      <c r="G745" s="692"/>
      <c r="H745" s="692"/>
      <c r="I745" s="692"/>
      <c r="J745" s="692"/>
      <c r="K745" s="692"/>
      <c r="L745" s="692"/>
      <c r="M745" s="692"/>
      <c r="N745" s="692"/>
      <c r="O745" s="692"/>
      <c r="P745" s="692"/>
      <c r="Q745" s="173"/>
      <c r="R745" s="173"/>
      <c r="S745" s="173"/>
      <c r="T745" s="173"/>
      <c r="U745" s="173"/>
      <c r="V745" s="173"/>
      <c r="W745" s="173"/>
      <c r="X745" s="173"/>
      <c r="Y745" s="173"/>
      <c r="Z745" s="173"/>
      <c r="AA745" s="173"/>
      <c r="AB745" s="173"/>
      <c r="AC745" s="173"/>
      <c r="AD745" s="173"/>
      <c r="AE745" s="173"/>
      <c r="AF745" s="173"/>
      <c r="AG745" s="173"/>
      <c r="AH745" s="173"/>
      <c r="AI745" s="173"/>
      <c r="AJ745" s="173"/>
      <c r="AK745" s="173"/>
      <c r="AL745" s="173"/>
      <c r="AM745" s="173"/>
      <c r="AN745" s="173"/>
      <c r="AO745" s="173"/>
      <c r="AP745" s="173"/>
    </row>
    <row r="746" spans="6:42">
      <c r="F746" s="692"/>
      <c r="G746" s="692"/>
      <c r="H746" s="692"/>
      <c r="I746" s="692"/>
      <c r="J746" s="692"/>
      <c r="K746" s="692"/>
      <c r="L746" s="692"/>
      <c r="M746" s="692"/>
      <c r="N746" s="692"/>
      <c r="O746" s="692"/>
      <c r="P746" s="692"/>
      <c r="Q746" s="173"/>
      <c r="R746" s="173"/>
      <c r="S746" s="173"/>
      <c r="T746" s="173"/>
      <c r="U746" s="173"/>
      <c r="V746" s="173"/>
      <c r="W746" s="173"/>
      <c r="X746" s="173"/>
      <c r="Y746" s="173"/>
      <c r="Z746" s="173"/>
      <c r="AA746" s="173"/>
      <c r="AB746" s="173"/>
      <c r="AC746" s="173"/>
      <c r="AD746" s="173"/>
      <c r="AE746" s="173"/>
      <c r="AF746" s="173"/>
      <c r="AG746" s="173"/>
      <c r="AH746" s="173"/>
      <c r="AI746" s="173"/>
      <c r="AJ746" s="173"/>
      <c r="AK746" s="173"/>
      <c r="AL746" s="173"/>
      <c r="AM746" s="173"/>
      <c r="AN746" s="173"/>
      <c r="AO746" s="173"/>
      <c r="AP746" s="173"/>
    </row>
    <row r="747" spans="6:42">
      <c r="F747" s="692"/>
      <c r="G747" s="692"/>
      <c r="H747" s="692"/>
      <c r="I747" s="692"/>
      <c r="J747" s="692"/>
      <c r="K747" s="692"/>
      <c r="L747" s="692"/>
      <c r="M747" s="692"/>
      <c r="N747" s="692"/>
      <c r="O747" s="692"/>
      <c r="P747" s="692"/>
      <c r="Q747" s="173"/>
      <c r="R747" s="173"/>
      <c r="S747" s="173"/>
      <c r="T747" s="173"/>
      <c r="U747" s="173"/>
      <c r="V747" s="173"/>
      <c r="W747" s="173"/>
      <c r="X747" s="173"/>
      <c r="Y747" s="173"/>
      <c r="Z747" s="173"/>
      <c r="AA747" s="173"/>
      <c r="AB747" s="173"/>
      <c r="AC747" s="173"/>
      <c r="AD747" s="173"/>
      <c r="AE747" s="173"/>
      <c r="AF747" s="173"/>
      <c r="AG747" s="173"/>
      <c r="AH747" s="173"/>
      <c r="AI747" s="173"/>
      <c r="AJ747" s="173"/>
      <c r="AK747" s="173"/>
      <c r="AL747" s="173"/>
      <c r="AM747" s="173"/>
      <c r="AN747" s="173"/>
      <c r="AO747" s="173"/>
      <c r="AP747" s="173"/>
    </row>
    <row r="748" spans="6:42">
      <c r="F748" s="692"/>
      <c r="G748" s="692"/>
      <c r="H748" s="692"/>
      <c r="I748" s="692"/>
      <c r="J748" s="692"/>
      <c r="K748" s="692"/>
      <c r="L748" s="692"/>
      <c r="M748" s="692"/>
      <c r="N748" s="692"/>
      <c r="O748" s="692"/>
      <c r="P748" s="692"/>
      <c r="Q748" s="173"/>
      <c r="R748" s="173"/>
      <c r="S748" s="173"/>
      <c r="T748" s="173"/>
      <c r="U748" s="173"/>
      <c r="V748" s="173"/>
      <c r="W748" s="173"/>
      <c r="X748" s="173"/>
      <c r="Y748" s="173"/>
      <c r="Z748" s="173"/>
      <c r="AA748" s="173"/>
      <c r="AB748" s="173"/>
      <c r="AC748" s="173"/>
      <c r="AD748" s="173"/>
      <c r="AE748" s="173"/>
      <c r="AF748" s="173"/>
      <c r="AG748" s="173"/>
      <c r="AH748" s="173"/>
      <c r="AI748" s="173"/>
      <c r="AJ748" s="173"/>
      <c r="AK748" s="173"/>
      <c r="AL748" s="173"/>
      <c r="AM748" s="173"/>
      <c r="AN748" s="173"/>
      <c r="AO748" s="173"/>
      <c r="AP748" s="173"/>
    </row>
    <row r="749" spans="6:42">
      <c r="F749" s="692"/>
      <c r="G749" s="692"/>
      <c r="H749" s="692"/>
      <c r="I749" s="692"/>
      <c r="J749" s="692"/>
      <c r="K749" s="692"/>
      <c r="L749" s="692"/>
      <c r="M749" s="692"/>
      <c r="N749" s="692"/>
      <c r="O749" s="692"/>
      <c r="P749" s="692"/>
      <c r="Q749" s="173"/>
      <c r="R749" s="173"/>
      <c r="S749" s="173"/>
      <c r="T749" s="173"/>
      <c r="U749" s="173"/>
      <c r="V749" s="173"/>
      <c r="W749" s="173"/>
      <c r="X749" s="173"/>
      <c r="Y749" s="173"/>
      <c r="Z749" s="173"/>
      <c r="AA749" s="173"/>
      <c r="AB749" s="173"/>
      <c r="AC749" s="173"/>
      <c r="AD749" s="173"/>
      <c r="AE749" s="173"/>
      <c r="AF749" s="173"/>
      <c r="AG749" s="173"/>
      <c r="AH749" s="173"/>
      <c r="AI749" s="173"/>
      <c r="AJ749" s="173"/>
      <c r="AK749" s="173"/>
      <c r="AL749" s="173"/>
      <c r="AM749" s="173"/>
      <c r="AN749" s="173"/>
      <c r="AO749" s="173"/>
      <c r="AP749" s="173"/>
    </row>
    <row r="750" spans="6:42">
      <c r="F750" s="692"/>
      <c r="G750" s="692"/>
      <c r="H750" s="692"/>
      <c r="I750" s="692"/>
      <c r="J750" s="692"/>
      <c r="K750" s="692"/>
      <c r="L750" s="692"/>
      <c r="M750" s="692"/>
      <c r="N750" s="692"/>
      <c r="O750" s="692"/>
      <c r="P750" s="692"/>
      <c r="Q750" s="173"/>
      <c r="R750" s="173"/>
      <c r="S750" s="173"/>
      <c r="T750" s="173"/>
      <c r="U750" s="173"/>
      <c r="V750" s="173"/>
      <c r="W750" s="173"/>
      <c r="X750" s="173"/>
      <c r="Y750" s="173"/>
      <c r="Z750" s="173"/>
      <c r="AA750" s="173"/>
      <c r="AB750" s="173"/>
      <c r="AC750" s="173"/>
      <c r="AD750" s="173"/>
      <c r="AE750" s="173"/>
      <c r="AF750" s="173"/>
      <c r="AG750" s="173"/>
      <c r="AH750" s="173"/>
      <c r="AI750" s="173"/>
      <c r="AJ750" s="173"/>
      <c r="AK750" s="173"/>
      <c r="AL750" s="173"/>
      <c r="AM750" s="173"/>
      <c r="AN750" s="173"/>
      <c r="AO750" s="173"/>
      <c r="AP750" s="173"/>
    </row>
    <row r="751" spans="6:42">
      <c r="F751" s="692"/>
      <c r="G751" s="692"/>
      <c r="H751" s="692"/>
      <c r="I751" s="692"/>
      <c r="J751" s="692"/>
      <c r="K751" s="692"/>
      <c r="L751" s="692"/>
      <c r="M751" s="692"/>
      <c r="N751" s="692"/>
      <c r="O751" s="692"/>
      <c r="P751" s="692"/>
      <c r="Q751" s="173"/>
      <c r="R751" s="173"/>
      <c r="S751" s="173"/>
      <c r="T751" s="173"/>
      <c r="U751" s="173"/>
      <c r="V751" s="173"/>
      <c r="W751" s="173"/>
      <c r="X751" s="173"/>
      <c r="Y751" s="173"/>
      <c r="Z751" s="173"/>
      <c r="AA751" s="173"/>
      <c r="AB751" s="173"/>
      <c r="AC751" s="173"/>
      <c r="AD751" s="173"/>
      <c r="AE751" s="173"/>
      <c r="AF751" s="173"/>
      <c r="AG751" s="173"/>
      <c r="AH751" s="173"/>
      <c r="AI751" s="173"/>
      <c r="AJ751" s="173"/>
      <c r="AK751" s="173"/>
      <c r="AL751" s="173"/>
      <c r="AM751" s="173"/>
      <c r="AN751" s="173"/>
      <c r="AO751" s="173"/>
      <c r="AP751" s="173"/>
    </row>
    <row r="752" spans="6:42">
      <c r="F752" s="692"/>
      <c r="G752" s="692"/>
      <c r="H752" s="692"/>
      <c r="I752" s="692"/>
      <c r="J752" s="692"/>
      <c r="K752" s="692"/>
      <c r="L752" s="692"/>
      <c r="M752" s="692"/>
      <c r="N752" s="692"/>
      <c r="O752" s="692"/>
      <c r="P752" s="692"/>
      <c r="Q752" s="173"/>
      <c r="R752" s="173"/>
      <c r="S752" s="173"/>
      <c r="T752" s="173"/>
      <c r="U752" s="173"/>
      <c r="V752" s="173"/>
      <c r="W752" s="173"/>
      <c r="X752" s="173"/>
      <c r="Y752" s="173"/>
      <c r="Z752" s="173"/>
      <c r="AA752" s="173"/>
      <c r="AB752" s="173"/>
      <c r="AC752" s="173"/>
      <c r="AD752" s="173"/>
      <c r="AE752" s="173"/>
      <c r="AF752" s="173"/>
      <c r="AG752" s="173"/>
      <c r="AH752" s="173"/>
      <c r="AI752" s="173"/>
      <c r="AJ752" s="173"/>
      <c r="AK752" s="173"/>
      <c r="AL752" s="173"/>
      <c r="AM752" s="173"/>
      <c r="AN752" s="173"/>
      <c r="AO752" s="173"/>
      <c r="AP752" s="173"/>
    </row>
    <row r="753" spans="6:42">
      <c r="F753" s="692"/>
      <c r="G753" s="692"/>
      <c r="H753" s="692"/>
      <c r="I753" s="692"/>
      <c r="J753" s="692"/>
      <c r="K753" s="692"/>
      <c r="L753" s="692"/>
      <c r="M753" s="692"/>
      <c r="N753" s="692"/>
      <c r="O753" s="692"/>
      <c r="P753" s="692"/>
      <c r="Q753" s="173"/>
      <c r="R753" s="173"/>
      <c r="S753" s="173"/>
      <c r="T753" s="173"/>
      <c r="U753" s="173"/>
      <c r="V753" s="173"/>
      <c r="W753" s="173"/>
      <c r="X753" s="173"/>
      <c r="Y753" s="173"/>
      <c r="Z753" s="173"/>
      <c r="AA753" s="173"/>
      <c r="AB753" s="173"/>
      <c r="AC753" s="173"/>
      <c r="AD753" s="173"/>
      <c r="AE753" s="173"/>
      <c r="AF753" s="173"/>
      <c r="AG753" s="173"/>
      <c r="AH753" s="173"/>
      <c r="AI753" s="173"/>
      <c r="AJ753" s="173"/>
      <c r="AK753" s="173"/>
      <c r="AL753" s="173"/>
      <c r="AM753" s="173"/>
      <c r="AN753" s="173"/>
      <c r="AO753" s="173"/>
      <c r="AP753" s="173"/>
    </row>
    <row r="754" spans="6:42">
      <c r="F754" s="692"/>
      <c r="G754" s="692"/>
      <c r="H754" s="692"/>
      <c r="I754" s="692"/>
      <c r="J754" s="692"/>
      <c r="K754" s="692"/>
      <c r="L754" s="692"/>
      <c r="M754" s="692"/>
      <c r="N754" s="692"/>
      <c r="O754" s="692"/>
      <c r="P754" s="692"/>
      <c r="Q754" s="173"/>
      <c r="R754" s="173"/>
      <c r="S754" s="173"/>
      <c r="T754" s="173"/>
      <c r="U754" s="173"/>
      <c r="V754" s="173"/>
      <c r="W754" s="173"/>
      <c r="X754" s="173"/>
      <c r="Y754" s="173"/>
      <c r="Z754" s="173"/>
      <c r="AA754" s="173"/>
      <c r="AB754" s="173"/>
      <c r="AC754" s="173"/>
      <c r="AD754" s="173"/>
      <c r="AE754" s="173"/>
      <c r="AF754" s="173"/>
      <c r="AG754" s="173"/>
      <c r="AH754" s="173"/>
      <c r="AI754" s="173"/>
      <c r="AJ754" s="173"/>
      <c r="AK754" s="173"/>
      <c r="AL754" s="173"/>
      <c r="AM754" s="173"/>
      <c r="AN754" s="173"/>
      <c r="AO754" s="173"/>
      <c r="AP754" s="173"/>
    </row>
    <row r="755" spans="6:42">
      <c r="F755" s="692"/>
      <c r="G755" s="692"/>
      <c r="H755" s="692"/>
      <c r="I755" s="692"/>
      <c r="J755" s="692"/>
      <c r="K755" s="692"/>
      <c r="L755" s="692"/>
      <c r="M755" s="692"/>
      <c r="N755" s="692"/>
      <c r="O755" s="692"/>
      <c r="P755" s="692"/>
      <c r="Q755" s="173"/>
      <c r="R755" s="173"/>
      <c r="S755" s="173"/>
      <c r="T755" s="173"/>
      <c r="U755" s="173"/>
      <c r="V755" s="173"/>
      <c r="W755" s="173"/>
      <c r="X755" s="173"/>
      <c r="Y755" s="173"/>
      <c r="Z755" s="173"/>
      <c r="AA755" s="173"/>
      <c r="AB755" s="173"/>
      <c r="AC755" s="173"/>
      <c r="AD755" s="173"/>
      <c r="AE755" s="173"/>
      <c r="AF755" s="173"/>
      <c r="AG755" s="173"/>
      <c r="AH755" s="173"/>
      <c r="AI755" s="173"/>
      <c r="AJ755" s="173"/>
      <c r="AK755" s="173"/>
      <c r="AL755" s="173"/>
      <c r="AM755" s="173"/>
      <c r="AN755" s="173"/>
      <c r="AO755" s="173"/>
      <c r="AP755" s="173"/>
    </row>
    <row r="756" spans="6:42">
      <c r="F756" s="692"/>
      <c r="G756" s="692"/>
      <c r="H756" s="692"/>
      <c r="I756" s="692"/>
      <c r="J756" s="692"/>
      <c r="K756" s="692"/>
      <c r="L756" s="692"/>
      <c r="M756" s="692"/>
      <c r="N756" s="692"/>
      <c r="O756" s="692"/>
      <c r="P756" s="692"/>
      <c r="Q756" s="173"/>
      <c r="R756" s="173"/>
      <c r="S756" s="173"/>
      <c r="T756" s="173"/>
      <c r="U756" s="173"/>
      <c r="V756" s="173"/>
      <c r="W756" s="173"/>
      <c r="X756" s="173"/>
      <c r="Y756" s="173"/>
      <c r="Z756" s="173"/>
      <c r="AA756" s="173"/>
      <c r="AB756" s="173"/>
      <c r="AC756" s="173"/>
      <c r="AD756" s="173"/>
      <c r="AE756" s="173"/>
      <c r="AF756" s="173"/>
      <c r="AG756" s="173"/>
      <c r="AH756" s="173"/>
      <c r="AI756" s="173"/>
      <c r="AJ756" s="173"/>
      <c r="AK756" s="173"/>
      <c r="AL756" s="173"/>
      <c r="AM756" s="173"/>
      <c r="AN756" s="173"/>
      <c r="AO756" s="173"/>
      <c r="AP756" s="173"/>
    </row>
    <row r="757" spans="6:42">
      <c r="F757" s="692"/>
      <c r="G757" s="692"/>
      <c r="H757" s="692"/>
      <c r="I757" s="692"/>
      <c r="J757" s="692"/>
      <c r="K757" s="692"/>
      <c r="L757" s="692"/>
      <c r="M757" s="692"/>
      <c r="N757" s="692"/>
      <c r="O757" s="692"/>
      <c r="P757" s="692"/>
      <c r="Q757" s="173"/>
      <c r="R757" s="173"/>
      <c r="S757" s="173"/>
      <c r="T757" s="173"/>
      <c r="U757" s="173"/>
      <c r="V757" s="173"/>
      <c r="W757" s="173"/>
      <c r="X757" s="173"/>
      <c r="Y757" s="173"/>
      <c r="Z757" s="173"/>
      <c r="AA757" s="173"/>
      <c r="AB757" s="173"/>
      <c r="AC757" s="173"/>
      <c r="AD757" s="173"/>
      <c r="AE757" s="173"/>
      <c r="AF757" s="173"/>
      <c r="AG757" s="173"/>
      <c r="AH757" s="173"/>
      <c r="AI757" s="173"/>
      <c r="AJ757" s="173"/>
      <c r="AK757" s="173"/>
      <c r="AL757" s="173"/>
      <c r="AM757" s="173"/>
      <c r="AN757" s="173"/>
      <c r="AO757" s="173"/>
      <c r="AP757" s="173"/>
    </row>
    <row r="758" spans="6:42">
      <c r="F758" s="692"/>
      <c r="G758" s="692"/>
      <c r="H758" s="692"/>
      <c r="I758" s="692"/>
      <c r="J758" s="692"/>
      <c r="K758" s="692"/>
      <c r="L758" s="692"/>
      <c r="M758" s="692"/>
      <c r="N758" s="692"/>
      <c r="O758" s="692"/>
      <c r="P758" s="692"/>
      <c r="Q758" s="173"/>
      <c r="R758" s="173"/>
      <c r="S758" s="173"/>
      <c r="T758" s="173"/>
      <c r="U758" s="173"/>
      <c r="V758" s="173"/>
      <c r="W758" s="173"/>
      <c r="X758" s="173"/>
      <c r="Y758" s="173"/>
      <c r="Z758" s="173"/>
      <c r="AA758" s="173"/>
      <c r="AB758" s="173"/>
      <c r="AC758" s="173"/>
      <c r="AD758" s="173"/>
      <c r="AE758" s="173"/>
      <c r="AF758" s="173"/>
      <c r="AG758" s="173"/>
      <c r="AH758" s="173"/>
      <c r="AI758" s="173"/>
      <c r="AJ758" s="173"/>
      <c r="AK758" s="173"/>
      <c r="AL758" s="173"/>
      <c r="AM758" s="173"/>
      <c r="AN758" s="173"/>
      <c r="AO758" s="173"/>
      <c r="AP758" s="173"/>
    </row>
    <row r="759" spans="6:42">
      <c r="F759" s="692"/>
      <c r="G759" s="692"/>
      <c r="H759" s="692"/>
      <c r="I759" s="692"/>
      <c r="J759" s="692"/>
      <c r="K759" s="692"/>
      <c r="L759" s="692"/>
      <c r="M759" s="692"/>
      <c r="N759" s="692"/>
      <c r="O759" s="692"/>
      <c r="P759" s="692"/>
      <c r="Q759" s="173"/>
      <c r="R759" s="173"/>
      <c r="S759" s="173"/>
      <c r="T759" s="173"/>
      <c r="U759" s="173"/>
      <c r="V759" s="173"/>
      <c r="W759" s="173"/>
      <c r="X759" s="173"/>
      <c r="Y759" s="173"/>
      <c r="Z759" s="173"/>
      <c r="AA759" s="173"/>
      <c r="AB759" s="173"/>
      <c r="AC759" s="173"/>
      <c r="AD759" s="173"/>
      <c r="AE759" s="173"/>
      <c r="AF759" s="173"/>
      <c r="AG759" s="173"/>
      <c r="AH759" s="173"/>
      <c r="AI759" s="173"/>
      <c r="AJ759" s="173"/>
      <c r="AK759" s="173"/>
      <c r="AL759" s="173"/>
      <c r="AM759" s="173"/>
      <c r="AN759" s="173"/>
      <c r="AO759" s="173"/>
      <c r="AP759" s="173"/>
    </row>
    <row r="760" spans="6:42">
      <c r="F760" s="692"/>
      <c r="G760" s="692"/>
      <c r="H760" s="692"/>
      <c r="I760" s="692"/>
      <c r="J760" s="692"/>
      <c r="K760" s="692"/>
      <c r="L760" s="692"/>
      <c r="M760" s="692"/>
      <c r="N760" s="692"/>
      <c r="O760" s="692"/>
      <c r="P760" s="692"/>
      <c r="Q760" s="173"/>
      <c r="R760" s="173"/>
      <c r="S760" s="173"/>
      <c r="T760" s="173"/>
      <c r="U760" s="173"/>
      <c r="V760" s="173"/>
      <c r="W760" s="173"/>
      <c r="X760" s="173"/>
      <c r="Y760" s="173"/>
      <c r="Z760" s="173"/>
      <c r="AA760" s="173"/>
      <c r="AB760" s="173"/>
      <c r="AC760" s="173"/>
      <c r="AD760" s="173"/>
      <c r="AE760" s="173"/>
      <c r="AF760" s="173"/>
      <c r="AG760" s="173"/>
      <c r="AH760" s="173"/>
      <c r="AI760" s="173"/>
      <c r="AJ760" s="173"/>
      <c r="AK760" s="173"/>
      <c r="AL760" s="173"/>
      <c r="AM760" s="173"/>
      <c r="AN760" s="173"/>
      <c r="AO760" s="173"/>
      <c r="AP760" s="173"/>
    </row>
    <row r="761" spans="6:42">
      <c r="F761" s="692"/>
      <c r="G761" s="692"/>
      <c r="H761" s="692"/>
      <c r="I761" s="692"/>
      <c r="J761" s="692"/>
      <c r="K761" s="692"/>
      <c r="L761" s="692"/>
      <c r="M761" s="692"/>
      <c r="N761" s="692"/>
      <c r="O761" s="692"/>
      <c r="P761" s="692"/>
      <c r="Q761" s="173"/>
      <c r="R761" s="173"/>
      <c r="S761" s="173"/>
      <c r="T761" s="173"/>
      <c r="U761" s="173"/>
      <c r="V761" s="173"/>
      <c r="W761" s="173"/>
      <c r="X761" s="173"/>
      <c r="Y761" s="173"/>
      <c r="Z761" s="173"/>
      <c r="AA761" s="173"/>
      <c r="AB761" s="173"/>
      <c r="AC761" s="173"/>
      <c r="AD761" s="173"/>
      <c r="AE761" s="173"/>
      <c r="AF761" s="173"/>
      <c r="AG761" s="173"/>
      <c r="AH761" s="173"/>
      <c r="AI761" s="173"/>
      <c r="AJ761" s="173"/>
      <c r="AK761" s="173"/>
      <c r="AL761" s="173"/>
      <c r="AM761" s="173"/>
      <c r="AN761" s="173"/>
      <c r="AO761" s="173"/>
      <c r="AP761" s="173"/>
    </row>
    <row r="762" spans="6:42">
      <c r="F762" s="692"/>
      <c r="G762" s="692"/>
      <c r="H762" s="692"/>
      <c r="I762" s="692"/>
      <c r="J762" s="692"/>
      <c r="K762" s="692"/>
      <c r="L762" s="692"/>
      <c r="M762" s="692"/>
      <c r="N762" s="692"/>
      <c r="O762" s="692"/>
      <c r="P762" s="692"/>
      <c r="Q762" s="173"/>
      <c r="R762" s="173"/>
      <c r="S762" s="173"/>
      <c r="T762" s="173"/>
      <c r="U762" s="173"/>
      <c r="V762" s="173"/>
      <c r="W762" s="173"/>
      <c r="X762" s="173"/>
      <c r="Y762" s="173"/>
      <c r="Z762" s="173"/>
      <c r="AA762" s="173"/>
      <c r="AB762" s="173"/>
      <c r="AC762" s="173"/>
      <c r="AD762" s="173"/>
      <c r="AE762" s="173"/>
      <c r="AF762" s="173"/>
      <c r="AG762" s="173"/>
      <c r="AH762" s="173"/>
      <c r="AI762" s="173"/>
      <c r="AJ762" s="173"/>
      <c r="AK762" s="173"/>
      <c r="AL762" s="173"/>
      <c r="AM762" s="173"/>
      <c r="AN762" s="173"/>
      <c r="AO762" s="173"/>
      <c r="AP762" s="173"/>
    </row>
    <row r="763" spans="6:42">
      <c r="F763" s="692"/>
      <c r="G763" s="692"/>
      <c r="H763" s="692"/>
      <c r="I763" s="692"/>
      <c r="J763" s="692"/>
      <c r="K763" s="692"/>
      <c r="L763" s="692"/>
      <c r="M763" s="692"/>
      <c r="N763" s="692"/>
      <c r="O763" s="692"/>
      <c r="P763" s="692"/>
      <c r="Q763" s="173"/>
      <c r="R763" s="173"/>
      <c r="S763" s="173"/>
      <c r="T763" s="173"/>
      <c r="U763" s="173"/>
      <c r="V763" s="173"/>
      <c r="W763" s="173"/>
      <c r="X763" s="173"/>
      <c r="Y763" s="173"/>
      <c r="Z763" s="173"/>
      <c r="AA763" s="173"/>
      <c r="AB763" s="173"/>
      <c r="AC763" s="173"/>
      <c r="AD763" s="173"/>
      <c r="AE763" s="173"/>
      <c r="AF763" s="173"/>
      <c r="AG763" s="173"/>
      <c r="AH763" s="173"/>
      <c r="AI763" s="173"/>
      <c r="AJ763" s="173"/>
      <c r="AK763" s="173"/>
      <c r="AL763" s="173"/>
      <c r="AM763" s="173"/>
      <c r="AN763" s="173"/>
      <c r="AO763" s="173"/>
      <c r="AP763" s="173"/>
    </row>
    <row r="764" spans="6:42">
      <c r="F764" s="692"/>
      <c r="G764" s="692"/>
      <c r="H764" s="692"/>
      <c r="I764" s="692"/>
      <c r="J764" s="692"/>
      <c r="K764" s="692"/>
      <c r="L764" s="692"/>
      <c r="M764" s="692"/>
      <c r="N764" s="692"/>
      <c r="O764" s="692"/>
      <c r="P764" s="692"/>
      <c r="Q764" s="173"/>
      <c r="R764" s="173"/>
      <c r="S764" s="173"/>
      <c r="T764" s="173"/>
      <c r="U764" s="173"/>
      <c r="V764" s="173"/>
      <c r="W764" s="173"/>
      <c r="X764" s="173"/>
      <c r="Y764" s="173"/>
      <c r="Z764" s="173"/>
      <c r="AA764" s="173"/>
      <c r="AB764" s="173"/>
      <c r="AC764" s="173"/>
      <c r="AD764" s="173"/>
      <c r="AE764" s="173"/>
      <c r="AF764" s="173"/>
      <c r="AG764" s="173"/>
      <c r="AH764" s="173"/>
      <c r="AI764" s="173"/>
      <c r="AJ764" s="173"/>
      <c r="AK764" s="173"/>
      <c r="AL764" s="173"/>
      <c r="AM764" s="173"/>
      <c r="AN764" s="173"/>
      <c r="AO764" s="173"/>
      <c r="AP764" s="173"/>
    </row>
    <row r="765" spans="6:42">
      <c r="F765" s="692"/>
      <c r="G765" s="692"/>
      <c r="H765" s="692"/>
      <c r="I765" s="692"/>
      <c r="J765" s="692"/>
      <c r="K765" s="692"/>
      <c r="L765" s="692"/>
      <c r="M765" s="692"/>
      <c r="N765" s="692"/>
      <c r="O765" s="692"/>
      <c r="P765" s="692"/>
      <c r="Q765" s="173"/>
      <c r="R765" s="173"/>
      <c r="S765" s="173"/>
      <c r="T765" s="173"/>
      <c r="U765" s="173"/>
      <c r="V765" s="173"/>
      <c r="W765" s="173"/>
      <c r="X765" s="173"/>
      <c r="Y765" s="173"/>
      <c r="Z765" s="173"/>
      <c r="AA765" s="173"/>
      <c r="AB765" s="173"/>
      <c r="AC765" s="173"/>
      <c r="AD765" s="173"/>
      <c r="AE765" s="173"/>
      <c r="AF765" s="173"/>
      <c r="AG765" s="173"/>
      <c r="AH765" s="173"/>
      <c r="AI765" s="173"/>
      <c r="AJ765" s="173"/>
      <c r="AK765" s="173"/>
      <c r="AL765" s="173"/>
      <c r="AM765" s="173"/>
      <c r="AN765" s="173"/>
      <c r="AO765" s="173"/>
      <c r="AP765" s="173"/>
    </row>
    <row r="766" spans="6:42">
      <c r="F766" s="692"/>
      <c r="G766" s="692"/>
      <c r="H766" s="692"/>
      <c r="I766" s="692"/>
      <c r="J766" s="692"/>
      <c r="K766" s="692"/>
      <c r="L766" s="692"/>
      <c r="M766" s="692"/>
      <c r="N766" s="692"/>
      <c r="O766" s="692"/>
      <c r="P766" s="692"/>
      <c r="Q766" s="173"/>
      <c r="R766" s="173"/>
      <c r="S766" s="173"/>
      <c r="T766" s="173"/>
      <c r="U766" s="173"/>
      <c r="V766" s="173"/>
      <c r="W766" s="173"/>
      <c r="X766" s="173"/>
      <c r="Y766" s="173"/>
      <c r="Z766" s="173"/>
      <c r="AA766" s="173"/>
      <c r="AB766" s="173"/>
      <c r="AC766" s="173"/>
      <c r="AD766" s="173"/>
      <c r="AE766" s="173"/>
      <c r="AF766" s="173"/>
      <c r="AG766" s="173"/>
      <c r="AH766" s="173"/>
      <c r="AI766" s="173"/>
      <c r="AJ766" s="173"/>
      <c r="AK766" s="173"/>
      <c r="AL766" s="173"/>
      <c r="AM766" s="173"/>
      <c r="AN766" s="173"/>
      <c r="AO766" s="173"/>
      <c r="AP766" s="173"/>
    </row>
    <row r="767" spans="6:42">
      <c r="F767" s="692"/>
      <c r="G767" s="692"/>
      <c r="H767" s="692"/>
      <c r="I767" s="692"/>
      <c r="J767" s="692"/>
      <c r="K767" s="692"/>
      <c r="L767" s="692"/>
      <c r="M767" s="692"/>
      <c r="N767" s="692"/>
      <c r="O767" s="692"/>
      <c r="P767" s="692"/>
      <c r="Q767" s="173"/>
      <c r="R767" s="173"/>
      <c r="S767" s="173"/>
      <c r="T767" s="173"/>
      <c r="U767" s="173"/>
      <c r="V767" s="173"/>
      <c r="W767" s="173"/>
      <c r="X767" s="173"/>
      <c r="Y767" s="173"/>
      <c r="Z767" s="173"/>
      <c r="AA767" s="173"/>
      <c r="AB767" s="173"/>
      <c r="AC767" s="173"/>
      <c r="AD767" s="173"/>
      <c r="AE767" s="173"/>
      <c r="AF767" s="173"/>
      <c r="AG767" s="173"/>
      <c r="AH767" s="173"/>
      <c r="AI767" s="173"/>
      <c r="AJ767" s="173"/>
      <c r="AK767" s="173"/>
      <c r="AL767" s="173"/>
      <c r="AM767" s="173"/>
      <c r="AN767" s="173"/>
      <c r="AO767" s="173"/>
      <c r="AP767" s="173"/>
    </row>
    <row r="768" spans="6:42">
      <c r="F768" s="692"/>
      <c r="G768" s="692"/>
      <c r="H768" s="692"/>
      <c r="I768" s="692"/>
      <c r="J768" s="692"/>
      <c r="K768" s="692"/>
      <c r="L768" s="692"/>
      <c r="M768" s="692"/>
      <c r="N768" s="692"/>
      <c r="O768" s="692"/>
      <c r="P768" s="692"/>
      <c r="Q768" s="173"/>
      <c r="R768" s="173"/>
      <c r="S768" s="173"/>
      <c r="T768" s="173"/>
      <c r="U768" s="173"/>
      <c r="V768" s="173"/>
      <c r="W768" s="173"/>
      <c r="X768" s="173"/>
      <c r="Y768" s="173"/>
      <c r="Z768" s="173"/>
      <c r="AA768" s="173"/>
      <c r="AB768" s="173"/>
      <c r="AC768" s="173"/>
      <c r="AD768" s="173"/>
      <c r="AE768" s="173"/>
      <c r="AF768" s="173"/>
      <c r="AG768" s="173"/>
      <c r="AH768" s="173"/>
      <c r="AI768" s="173"/>
      <c r="AJ768" s="173"/>
      <c r="AK768" s="173"/>
      <c r="AL768" s="173"/>
      <c r="AM768" s="173"/>
      <c r="AN768" s="173"/>
      <c r="AO768" s="173"/>
      <c r="AP768" s="173"/>
    </row>
    <row r="769" spans="6:42">
      <c r="F769" s="692"/>
      <c r="G769" s="692"/>
      <c r="H769" s="692"/>
      <c r="I769" s="692"/>
      <c r="J769" s="692"/>
      <c r="K769" s="692"/>
      <c r="L769" s="692"/>
      <c r="M769" s="692"/>
      <c r="N769" s="692"/>
      <c r="O769" s="692"/>
      <c r="P769" s="692"/>
      <c r="Q769" s="173"/>
      <c r="R769" s="173"/>
      <c r="S769" s="173"/>
      <c r="T769" s="173"/>
      <c r="U769" s="173"/>
      <c r="V769" s="173"/>
      <c r="W769" s="173"/>
      <c r="X769" s="173"/>
      <c r="Y769" s="173"/>
      <c r="Z769" s="173"/>
      <c r="AA769" s="173"/>
      <c r="AB769" s="173"/>
      <c r="AC769" s="173"/>
      <c r="AD769" s="173"/>
      <c r="AE769" s="173"/>
      <c r="AF769" s="173"/>
      <c r="AG769" s="173"/>
      <c r="AH769" s="173"/>
      <c r="AI769" s="173"/>
      <c r="AJ769" s="173"/>
      <c r="AK769" s="173"/>
      <c r="AL769" s="173"/>
      <c r="AM769" s="173"/>
      <c r="AN769" s="173"/>
      <c r="AO769" s="173"/>
      <c r="AP769" s="173"/>
    </row>
    <row r="770" spans="6:42">
      <c r="F770" s="692"/>
      <c r="G770" s="692"/>
      <c r="H770" s="692"/>
      <c r="I770" s="692"/>
      <c r="J770" s="692"/>
      <c r="K770" s="692"/>
      <c r="L770" s="692"/>
      <c r="M770" s="692"/>
      <c r="N770" s="692"/>
      <c r="O770" s="692"/>
      <c r="P770" s="692"/>
      <c r="Q770" s="173"/>
      <c r="R770" s="173"/>
      <c r="S770" s="173"/>
      <c r="T770" s="173"/>
      <c r="U770" s="173"/>
      <c r="V770" s="173"/>
      <c r="W770" s="173"/>
      <c r="X770" s="173"/>
      <c r="Y770" s="173"/>
      <c r="Z770" s="173"/>
      <c r="AA770" s="173"/>
      <c r="AB770" s="173"/>
      <c r="AC770" s="173"/>
      <c r="AD770" s="173"/>
      <c r="AE770" s="173"/>
      <c r="AF770" s="173"/>
      <c r="AG770" s="173"/>
      <c r="AH770" s="173"/>
      <c r="AI770" s="173"/>
      <c r="AJ770" s="173"/>
      <c r="AK770" s="173"/>
      <c r="AL770" s="173"/>
      <c r="AM770" s="173"/>
      <c r="AN770" s="173"/>
      <c r="AO770" s="173"/>
      <c r="AP770" s="173"/>
    </row>
    <row r="771" spans="6:42">
      <c r="F771" s="692"/>
      <c r="G771" s="692"/>
      <c r="H771" s="692"/>
      <c r="I771" s="692"/>
      <c r="J771" s="692"/>
      <c r="K771" s="692"/>
      <c r="L771" s="692"/>
      <c r="M771" s="692"/>
      <c r="N771" s="692"/>
      <c r="O771" s="692"/>
      <c r="P771" s="692"/>
      <c r="Q771" s="173"/>
      <c r="R771" s="173"/>
      <c r="S771" s="173"/>
      <c r="T771" s="173"/>
      <c r="U771" s="173"/>
      <c r="V771" s="173"/>
      <c r="W771" s="173"/>
      <c r="X771" s="173"/>
      <c r="Y771" s="173"/>
      <c r="Z771" s="173"/>
      <c r="AA771" s="173"/>
      <c r="AB771" s="173"/>
      <c r="AC771" s="173"/>
      <c r="AD771" s="173"/>
      <c r="AE771" s="173"/>
      <c r="AF771" s="173"/>
      <c r="AG771" s="173"/>
      <c r="AH771" s="173"/>
      <c r="AI771" s="173"/>
      <c r="AJ771" s="173"/>
      <c r="AK771" s="173"/>
      <c r="AL771" s="173"/>
      <c r="AM771" s="173"/>
      <c r="AN771" s="173"/>
      <c r="AO771" s="173"/>
      <c r="AP771" s="173"/>
    </row>
    <row r="772" spans="6:42">
      <c r="F772" s="692"/>
      <c r="G772" s="692"/>
      <c r="H772" s="692"/>
      <c r="I772" s="692"/>
      <c r="J772" s="692"/>
      <c r="K772" s="692"/>
      <c r="L772" s="692"/>
      <c r="M772" s="692"/>
      <c r="N772" s="692"/>
      <c r="O772" s="692"/>
      <c r="P772" s="692"/>
      <c r="Q772" s="173"/>
      <c r="R772" s="173"/>
      <c r="S772" s="173"/>
      <c r="T772" s="173"/>
      <c r="U772" s="173"/>
      <c r="V772" s="173"/>
      <c r="W772" s="173"/>
      <c r="X772" s="173"/>
      <c r="Y772" s="173"/>
      <c r="Z772" s="173"/>
      <c r="AA772" s="173"/>
      <c r="AB772" s="173"/>
      <c r="AC772" s="173"/>
      <c r="AD772" s="173"/>
      <c r="AE772" s="173"/>
      <c r="AF772" s="173"/>
      <c r="AG772" s="173"/>
      <c r="AH772" s="173"/>
      <c r="AI772" s="173"/>
      <c r="AJ772" s="173"/>
      <c r="AK772" s="173"/>
      <c r="AL772" s="173"/>
      <c r="AM772" s="173"/>
      <c r="AN772" s="173"/>
      <c r="AO772" s="173"/>
      <c r="AP772" s="173"/>
    </row>
    <row r="773" spans="6:42">
      <c r="F773" s="692"/>
      <c r="G773" s="692"/>
      <c r="H773" s="692"/>
      <c r="I773" s="692"/>
      <c r="J773" s="692"/>
      <c r="K773" s="692"/>
      <c r="L773" s="692"/>
      <c r="M773" s="692"/>
      <c r="N773" s="692"/>
      <c r="O773" s="692"/>
      <c r="P773" s="692"/>
      <c r="Q773" s="173"/>
      <c r="R773" s="173"/>
      <c r="S773" s="173"/>
      <c r="T773" s="173"/>
      <c r="U773" s="173"/>
      <c r="V773" s="173"/>
      <c r="W773" s="173"/>
      <c r="X773" s="173"/>
      <c r="Y773" s="173"/>
      <c r="Z773" s="173"/>
      <c r="AA773" s="173"/>
      <c r="AB773" s="173"/>
      <c r="AC773" s="173"/>
      <c r="AD773" s="173"/>
      <c r="AE773" s="173"/>
      <c r="AF773" s="173"/>
      <c r="AG773" s="173"/>
      <c r="AH773" s="173"/>
      <c r="AI773" s="173"/>
      <c r="AJ773" s="173"/>
      <c r="AK773" s="173"/>
      <c r="AL773" s="173"/>
      <c r="AM773" s="173"/>
      <c r="AN773" s="173"/>
      <c r="AO773" s="173"/>
      <c r="AP773" s="173"/>
    </row>
    <row r="774" spans="6:42">
      <c r="F774" s="692"/>
      <c r="G774" s="692"/>
      <c r="H774" s="692"/>
      <c r="I774" s="692"/>
      <c r="J774" s="692"/>
      <c r="K774" s="692"/>
      <c r="L774" s="692"/>
      <c r="M774" s="692"/>
      <c r="N774" s="692"/>
      <c r="O774" s="692"/>
      <c r="P774" s="692"/>
      <c r="Q774" s="173"/>
      <c r="R774" s="173"/>
      <c r="S774" s="173"/>
      <c r="T774" s="173"/>
      <c r="U774" s="173"/>
      <c r="V774" s="173"/>
      <c r="W774" s="173"/>
      <c r="X774" s="173"/>
      <c r="Y774" s="173"/>
      <c r="Z774" s="173"/>
      <c r="AA774" s="173"/>
      <c r="AB774" s="173"/>
      <c r="AC774" s="173"/>
      <c r="AD774" s="173"/>
      <c r="AE774" s="173"/>
      <c r="AF774" s="173"/>
      <c r="AG774" s="173"/>
      <c r="AH774" s="173"/>
      <c r="AI774" s="173"/>
      <c r="AJ774" s="173"/>
      <c r="AK774" s="173"/>
      <c r="AL774" s="173"/>
      <c r="AM774" s="173"/>
      <c r="AN774" s="173"/>
      <c r="AO774" s="173"/>
      <c r="AP774" s="173"/>
    </row>
    <row r="775" spans="6:42">
      <c r="F775" s="692"/>
      <c r="G775" s="692"/>
      <c r="H775" s="692"/>
      <c r="I775" s="692"/>
      <c r="J775" s="692"/>
      <c r="K775" s="692"/>
      <c r="L775" s="692"/>
      <c r="M775" s="692"/>
      <c r="N775" s="692"/>
      <c r="O775" s="692"/>
      <c r="P775" s="692"/>
      <c r="Q775" s="173"/>
      <c r="R775" s="173"/>
      <c r="S775" s="173"/>
      <c r="T775" s="173"/>
      <c r="U775" s="173"/>
      <c r="V775" s="173"/>
      <c r="W775" s="173"/>
      <c r="X775" s="173"/>
      <c r="Y775" s="173"/>
      <c r="Z775" s="173"/>
      <c r="AA775" s="173"/>
      <c r="AB775" s="173"/>
      <c r="AC775" s="173"/>
      <c r="AD775" s="173"/>
      <c r="AE775" s="173"/>
      <c r="AF775" s="173"/>
      <c r="AG775" s="173"/>
      <c r="AH775" s="173"/>
      <c r="AI775" s="173"/>
      <c r="AJ775" s="173"/>
      <c r="AK775" s="173"/>
      <c r="AL775" s="173"/>
      <c r="AM775" s="173"/>
      <c r="AN775" s="173"/>
      <c r="AO775" s="173"/>
      <c r="AP775" s="173"/>
    </row>
    <row r="776" spans="6:42">
      <c r="F776" s="692"/>
      <c r="G776" s="692"/>
      <c r="H776" s="692"/>
      <c r="I776" s="692"/>
      <c r="J776" s="692"/>
      <c r="K776" s="692"/>
      <c r="L776" s="692"/>
      <c r="M776" s="692"/>
      <c r="N776" s="692"/>
      <c r="O776" s="692"/>
      <c r="P776" s="692"/>
      <c r="Q776" s="173"/>
      <c r="R776" s="173"/>
      <c r="S776" s="173"/>
      <c r="T776" s="173"/>
      <c r="U776" s="173"/>
      <c r="V776" s="173"/>
      <c r="W776" s="173"/>
      <c r="X776" s="173"/>
      <c r="Y776" s="173"/>
      <c r="Z776" s="173"/>
      <c r="AA776" s="173"/>
      <c r="AB776" s="173"/>
      <c r="AC776" s="173"/>
      <c r="AD776" s="173"/>
      <c r="AE776" s="173"/>
      <c r="AF776" s="173"/>
      <c r="AG776" s="173"/>
      <c r="AH776" s="173"/>
      <c r="AI776" s="173"/>
      <c r="AJ776" s="173"/>
      <c r="AK776" s="173"/>
      <c r="AL776" s="173"/>
      <c r="AM776" s="173"/>
      <c r="AN776" s="173"/>
      <c r="AO776" s="173"/>
      <c r="AP776" s="173"/>
    </row>
    <row r="777" spans="6:42">
      <c r="F777" s="692"/>
      <c r="G777" s="692"/>
      <c r="H777" s="692"/>
      <c r="I777" s="692"/>
      <c r="J777" s="692"/>
      <c r="K777" s="692"/>
      <c r="L777" s="692"/>
      <c r="M777" s="692"/>
      <c r="N777" s="692"/>
      <c r="O777" s="692"/>
      <c r="P777" s="692"/>
      <c r="Q777" s="173"/>
      <c r="R777" s="173"/>
      <c r="S777" s="173"/>
      <c r="T777" s="173"/>
      <c r="U777" s="173"/>
      <c r="V777" s="173"/>
      <c r="W777" s="173"/>
      <c r="X777" s="173"/>
      <c r="Y777" s="173"/>
      <c r="Z777" s="173"/>
      <c r="AA777" s="173"/>
      <c r="AB777" s="173"/>
      <c r="AC777" s="173"/>
      <c r="AD777" s="173"/>
      <c r="AE777" s="173"/>
      <c r="AF777" s="173"/>
      <c r="AG777" s="173"/>
      <c r="AH777" s="173"/>
      <c r="AI777" s="173"/>
      <c r="AJ777" s="173"/>
      <c r="AK777" s="173"/>
      <c r="AL777" s="173"/>
      <c r="AM777" s="173"/>
      <c r="AN777" s="173"/>
      <c r="AO777" s="173"/>
      <c r="AP777" s="173"/>
    </row>
    <row r="778" spans="6:42">
      <c r="F778" s="692"/>
      <c r="G778" s="692"/>
      <c r="H778" s="692"/>
      <c r="I778" s="692"/>
      <c r="J778" s="692"/>
      <c r="K778" s="692"/>
      <c r="L778" s="692"/>
      <c r="M778" s="692"/>
      <c r="N778" s="692"/>
      <c r="O778" s="692"/>
      <c r="P778" s="692"/>
      <c r="Q778" s="173"/>
      <c r="R778" s="173"/>
      <c r="S778" s="173"/>
      <c r="T778" s="173"/>
      <c r="U778" s="173"/>
      <c r="V778" s="173"/>
      <c r="W778" s="173"/>
      <c r="X778" s="173"/>
      <c r="Y778" s="173"/>
      <c r="Z778" s="173"/>
      <c r="AA778" s="173"/>
      <c r="AB778" s="173"/>
      <c r="AC778" s="173"/>
      <c r="AD778" s="173"/>
      <c r="AE778" s="173"/>
      <c r="AF778" s="173"/>
      <c r="AG778" s="173"/>
      <c r="AH778" s="173"/>
      <c r="AI778" s="173"/>
      <c r="AJ778" s="173"/>
      <c r="AK778" s="173"/>
      <c r="AL778" s="173"/>
      <c r="AM778" s="173"/>
      <c r="AN778" s="173"/>
      <c r="AO778" s="173"/>
      <c r="AP778" s="173"/>
    </row>
    <row r="779" spans="6:42">
      <c r="F779" s="692"/>
      <c r="G779" s="692"/>
      <c r="H779" s="692"/>
      <c r="I779" s="692"/>
      <c r="J779" s="692"/>
      <c r="K779" s="692"/>
      <c r="L779" s="692"/>
      <c r="M779" s="692"/>
      <c r="N779" s="692"/>
      <c r="O779" s="692"/>
      <c r="P779" s="692"/>
      <c r="Q779" s="173"/>
      <c r="R779" s="173"/>
      <c r="S779" s="173"/>
      <c r="T779" s="173"/>
      <c r="U779" s="173"/>
      <c r="V779" s="173"/>
      <c r="W779" s="173"/>
      <c r="X779" s="173"/>
      <c r="Y779" s="173"/>
      <c r="Z779" s="173"/>
      <c r="AA779" s="173"/>
      <c r="AB779" s="173"/>
      <c r="AC779" s="173"/>
      <c r="AD779" s="173"/>
      <c r="AE779" s="173"/>
      <c r="AF779" s="173"/>
      <c r="AG779" s="173"/>
      <c r="AH779" s="173"/>
      <c r="AI779" s="173"/>
      <c r="AJ779" s="173"/>
      <c r="AK779" s="173"/>
      <c r="AL779" s="173"/>
      <c r="AM779" s="173"/>
      <c r="AN779" s="173"/>
      <c r="AO779" s="173"/>
      <c r="AP779" s="173"/>
    </row>
    <row r="780" spans="6:42">
      <c r="F780" s="692"/>
      <c r="G780" s="692"/>
      <c r="H780" s="692"/>
      <c r="I780" s="692"/>
      <c r="J780" s="692"/>
      <c r="K780" s="692"/>
      <c r="L780" s="692"/>
      <c r="M780" s="692"/>
      <c r="N780" s="692"/>
      <c r="O780" s="692"/>
      <c r="P780" s="692"/>
      <c r="Q780" s="173"/>
      <c r="R780" s="173"/>
      <c r="S780" s="173"/>
      <c r="T780" s="173"/>
      <c r="U780" s="173"/>
      <c r="V780" s="173"/>
      <c r="W780" s="173"/>
      <c r="X780" s="173"/>
      <c r="Y780" s="173"/>
      <c r="Z780" s="173"/>
      <c r="AA780" s="173"/>
      <c r="AB780" s="173"/>
      <c r="AC780" s="173"/>
      <c r="AD780" s="173"/>
      <c r="AE780" s="173"/>
      <c r="AF780" s="173"/>
      <c r="AG780" s="173"/>
      <c r="AH780" s="173"/>
      <c r="AI780" s="173"/>
      <c r="AJ780" s="173"/>
      <c r="AK780" s="173"/>
      <c r="AL780" s="173"/>
      <c r="AM780" s="173"/>
      <c r="AN780" s="173"/>
      <c r="AO780" s="173"/>
      <c r="AP780" s="173"/>
    </row>
    <row r="781" spans="6:42">
      <c r="F781" s="692"/>
      <c r="G781" s="692"/>
      <c r="H781" s="692"/>
      <c r="I781" s="692"/>
      <c r="J781" s="692"/>
      <c r="K781" s="692"/>
      <c r="L781" s="692"/>
      <c r="M781" s="692"/>
      <c r="N781" s="692"/>
      <c r="O781" s="692"/>
      <c r="P781" s="692"/>
      <c r="Q781" s="173"/>
      <c r="R781" s="173"/>
      <c r="S781" s="173"/>
      <c r="T781" s="173"/>
      <c r="U781" s="173"/>
      <c r="V781" s="173"/>
      <c r="W781" s="173"/>
      <c r="X781" s="173"/>
      <c r="Y781" s="173"/>
      <c r="Z781" s="173"/>
      <c r="AA781" s="173"/>
      <c r="AB781" s="173"/>
      <c r="AC781" s="173"/>
      <c r="AD781" s="173"/>
      <c r="AE781" s="173"/>
      <c r="AF781" s="173"/>
      <c r="AG781" s="173"/>
      <c r="AH781" s="173"/>
      <c r="AI781" s="173"/>
      <c r="AJ781" s="173"/>
      <c r="AK781" s="173"/>
      <c r="AL781" s="173"/>
      <c r="AM781" s="173"/>
      <c r="AN781" s="173"/>
      <c r="AO781" s="173"/>
      <c r="AP781" s="173"/>
    </row>
    <row r="782" spans="6:42">
      <c r="F782" s="692"/>
      <c r="G782" s="692"/>
      <c r="H782" s="692"/>
      <c r="I782" s="692"/>
      <c r="J782" s="692"/>
      <c r="K782" s="692"/>
      <c r="L782" s="692"/>
      <c r="M782" s="692"/>
      <c r="N782" s="692"/>
      <c r="O782" s="692"/>
      <c r="P782" s="692"/>
      <c r="Q782" s="173"/>
      <c r="R782" s="173"/>
      <c r="S782" s="173"/>
      <c r="T782" s="173"/>
      <c r="U782" s="173"/>
      <c r="V782" s="173"/>
      <c r="W782" s="173"/>
      <c r="X782" s="173"/>
      <c r="Y782" s="173"/>
      <c r="Z782" s="173"/>
      <c r="AA782" s="173"/>
      <c r="AB782" s="173"/>
      <c r="AC782" s="173"/>
      <c r="AD782" s="173"/>
      <c r="AE782" s="173"/>
      <c r="AF782" s="173"/>
      <c r="AG782" s="173"/>
      <c r="AH782" s="173"/>
      <c r="AI782" s="173"/>
      <c r="AJ782" s="173"/>
      <c r="AK782" s="173"/>
      <c r="AL782" s="173"/>
      <c r="AM782" s="173"/>
      <c r="AN782" s="173"/>
      <c r="AO782" s="173"/>
      <c r="AP782" s="173"/>
    </row>
    <row r="783" spans="6:42">
      <c r="F783" s="692"/>
      <c r="G783" s="692"/>
      <c r="H783" s="692"/>
      <c r="I783" s="692"/>
      <c r="J783" s="692"/>
      <c r="K783" s="692"/>
      <c r="L783" s="692"/>
      <c r="M783" s="692"/>
      <c r="N783" s="692"/>
      <c r="O783" s="692"/>
      <c r="P783" s="692"/>
      <c r="Q783" s="173"/>
      <c r="R783" s="173"/>
      <c r="S783" s="173"/>
      <c r="T783" s="173"/>
      <c r="U783" s="173"/>
      <c r="V783" s="173"/>
      <c r="W783" s="173"/>
      <c r="X783" s="173"/>
      <c r="Y783" s="173"/>
      <c r="Z783" s="173"/>
      <c r="AA783" s="173"/>
      <c r="AB783" s="173"/>
      <c r="AC783" s="173"/>
      <c r="AD783" s="173"/>
      <c r="AE783" s="173"/>
      <c r="AF783" s="173"/>
      <c r="AG783" s="173"/>
      <c r="AH783" s="173"/>
      <c r="AI783" s="173"/>
      <c r="AJ783" s="173"/>
      <c r="AK783" s="173"/>
      <c r="AL783" s="173"/>
      <c r="AM783" s="173"/>
      <c r="AN783" s="173"/>
      <c r="AO783" s="173"/>
      <c r="AP783" s="173"/>
    </row>
    <row r="784" spans="6:42">
      <c r="F784" s="692"/>
      <c r="G784" s="692"/>
      <c r="H784" s="692"/>
      <c r="I784" s="692"/>
      <c r="J784" s="692"/>
      <c r="K784" s="692"/>
      <c r="L784" s="692"/>
      <c r="M784" s="692"/>
      <c r="N784" s="692"/>
      <c r="O784" s="692"/>
      <c r="P784" s="692"/>
      <c r="Q784" s="173"/>
      <c r="R784" s="173"/>
      <c r="S784" s="173"/>
      <c r="T784" s="173"/>
      <c r="U784" s="173"/>
      <c r="V784" s="173"/>
      <c r="W784" s="173"/>
      <c r="X784" s="173"/>
      <c r="Y784" s="173"/>
      <c r="Z784" s="173"/>
      <c r="AA784" s="173"/>
      <c r="AB784" s="173"/>
      <c r="AC784" s="173"/>
      <c r="AD784" s="173"/>
      <c r="AE784" s="173"/>
      <c r="AF784" s="173"/>
      <c r="AG784" s="173"/>
      <c r="AH784" s="173"/>
      <c r="AI784" s="173"/>
      <c r="AJ784" s="173"/>
      <c r="AK784" s="173"/>
      <c r="AL784" s="173"/>
      <c r="AM784" s="173"/>
      <c r="AN784" s="173"/>
      <c r="AO784" s="173"/>
      <c r="AP784" s="173"/>
    </row>
    <row r="785" spans="6:42">
      <c r="F785" s="692"/>
      <c r="G785" s="692"/>
      <c r="H785" s="692"/>
      <c r="I785" s="692"/>
      <c r="J785" s="692"/>
      <c r="K785" s="692"/>
      <c r="L785" s="692"/>
      <c r="M785" s="692"/>
      <c r="N785" s="692"/>
      <c r="O785" s="692"/>
      <c r="P785" s="692"/>
      <c r="Q785" s="173"/>
      <c r="R785" s="173"/>
      <c r="S785" s="173"/>
      <c r="T785" s="173"/>
      <c r="U785" s="173"/>
      <c r="V785" s="173"/>
      <c r="W785" s="173"/>
      <c r="X785" s="173"/>
      <c r="Y785" s="173"/>
      <c r="Z785" s="173"/>
      <c r="AA785" s="173"/>
      <c r="AB785" s="173"/>
      <c r="AC785" s="173"/>
      <c r="AD785" s="173"/>
      <c r="AE785" s="173"/>
      <c r="AF785" s="173"/>
      <c r="AG785" s="173"/>
      <c r="AH785" s="173"/>
      <c r="AI785" s="173"/>
      <c r="AJ785" s="173"/>
      <c r="AK785" s="173"/>
      <c r="AL785" s="173"/>
      <c r="AM785" s="173"/>
      <c r="AN785" s="173"/>
      <c r="AO785" s="173"/>
      <c r="AP785" s="173"/>
    </row>
    <row r="786" spans="6:42">
      <c r="F786" s="692"/>
      <c r="G786" s="692"/>
      <c r="H786" s="692"/>
      <c r="I786" s="692"/>
      <c r="J786" s="692"/>
      <c r="K786" s="692"/>
      <c r="L786" s="692"/>
      <c r="M786" s="692"/>
      <c r="N786" s="692"/>
      <c r="O786" s="692"/>
      <c r="P786" s="692"/>
      <c r="Q786" s="173"/>
      <c r="R786" s="173"/>
      <c r="S786" s="173"/>
      <c r="T786" s="173"/>
      <c r="U786" s="173"/>
      <c r="V786" s="173"/>
      <c r="W786" s="173"/>
      <c r="X786" s="173"/>
      <c r="Y786" s="173"/>
      <c r="Z786" s="173"/>
      <c r="AA786" s="173"/>
      <c r="AB786" s="173"/>
      <c r="AC786" s="173"/>
      <c r="AD786" s="173"/>
      <c r="AE786" s="173"/>
      <c r="AF786" s="173"/>
      <c r="AG786" s="173"/>
      <c r="AH786" s="173"/>
      <c r="AI786" s="173"/>
      <c r="AJ786" s="173"/>
      <c r="AK786" s="173"/>
      <c r="AL786" s="173"/>
      <c r="AM786" s="173"/>
      <c r="AN786" s="173"/>
      <c r="AO786" s="173"/>
      <c r="AP786" s="173"/>
    </row>
    <row r="787" spans="6:42">
      <c r="F787" s="692"/>
      <c r="G787" s="692"/>
      <c r="H787" s="692"/>
      <c r="I787" s="692"/>
      <c r="J787" s="692"/>
      <c r="K787" s="692"/>
      <c r="L787" s="692"/>
      <c r="M787" s="692"/>
      <c r="N787" s="692"/>
      <c r="O787" s="692"/>
      <c r="P787" s="692"/>
      <c r="Q787" s="173"/>
      <c r="R787" s="173"/>
      <c r="S787" s="173"/>
      <c r="T787" s="173"/>
      <c r="U787" s="173"/>
      <c r="V787" s="173"/>
      <c r="W787" s="173"/>
      <c r="X787" s="173"/>
      <c r="Y787" s="173"/>
      <c r="Z787" s="173"/>
      <c r="AA787" s="173"/>
      <c r="AB787" s="173"/>
      <c r="AC787" s="173"/>
      <c r="AD787" s="173"/>
      <c r="AE787" s="173"/>
      <c r="AF787" s="173"/>
      <c r="AG787" s="173"/>
      <c r="AH787" s="173"/>
      <c r="AI787" s="173"/>
      <c r="AJ787" s="173"/>
      <c r="AK787" s="173"/>
      <c r="AL787" s="173"/>
      <c r="AM787" s="173"/>
      <c r="AN787" s="173"/>
      <c r="AO787" s="173"/>
      <c r="AP787" s="173"/>
    </row>
    <row r="788" spans="6:42">
      <c r="F788" s="692"/>
      <c r="G788" s="692"/>
      <c r="H788" s="692"/>
      <c r="I788" s="692"/>
      <c r="J788" s="692"/>
      <c r="K788" s="692"/>
      <c r="L788" s="692"/>
      <c r="M788" s="692"/>
      <c r="N788" s="692"/>
      <c r="O788" s="692"/>
      <c r="P788" s="692"/>
      <c r="Q788" s="173"/>
      <c r="R788" s="173"/>
      <c r="S788" s="173"/>
      <c r="T788" s="173"/>
      <c r="U788" s="173"/>
      <c r="V788" s="173"/>
      <c r="W788" s="173"/>
      <c r="X788" s="173"/>
      <c r="Y788" s="173"/>
      <c r="Z788" s="173"/>
      <c r="AA788" s="173"/>
      <c r="AB788" s="173"/>
      <c r="AC788" s="173"/>
      <c r="AD788" s="173"/>
      <c r="AE788" s="173"/>
      <c r="AF788" s="173"/>
      <c r="AG788" s="173"/>
      <c r="AH788" s="173"/>
      <c r="AI788" s="173"/>
      <c r="AJ788" s="173"/>
      <c r="AK788" s="173"/>
      <c r="AL788" s="173"/>
      <c r="AM788" s="173"/>
      <c r="AN788" s="173"/>
      <c r="AO788" s="173"/>
      <c r="AP788" s="173"/>
    </row>
    <row r="789" spans="6:42">
      <c r="F789" s="692"/>
      <c r="G789" s="692"/>
      <c r="H789" s="692"/>
      <c r="I789" s="692"/>
      <c r="J789" s="692"/>
      <c r="K789" s="692"/>
      <c r="L789" s="692"/>
      <c r="M789" s="692"/>
      <c r="N789" s="692"/>
      <c r="O789" s="692"/>
      <c r="P789" s="692"/>
      <c r="Q789" s="173"/>
      <c r="R789" s="173"/>
      <c r="S789" s="173"/>
      <c r="T789" s="173"/>
      <c r="U789" s="173"/>
      <c r="V789" s="173"/>
      <c r="W789" s="173"/>
      <c r="X789" s="173"/>
      <c r="Y789" s="173"/>
      <c r="Z789" s="173"/>
      <c r="AA789" s="173"/>
      <c r="AB789" s="173"/>
      <c r="AC789" s="173"/>
      <c r="AD789" s="173"/>
      <c r="AE789" s="173"/>
      <c r="AF789" s="173"/>
      <c r="AG789" s="173"/>
      <c r="AH789" s="173"/>
      <c r="AI789" s="173"/>
      <c r="AJ789" s="173"/>
      <c r="AK789" s="173"/>
      <c r="AL789" s="173"/>
      <c r="AM789" s="173"/>
      <c r="AN789" s="173"/>
      <c r="AO789" s="173"/>
      <c r="AP789" s="173"/>
    </row>
    <row r="790" spans="6:42">
      <c r="F790" s="692"/>
      <c r="G790" s="692"/>
      <c r="H790" s="692"/>
      <c r="I790" s="692"/>
      <c r="J790" s="692"/>
      <c r="K790" s="692"/>
      <c r="L790" s="692"/>
      <c r="M790" s="692"/>
      <c r="N790" s="692"/>
      <c r="O790" s="692"/>
      <c r="P790" s="692"/>
      <c r="Q790" s="173"/>
      <c r="R790" s="173"/>
      <c r="S790" s="173"/>
      <c r="T790" s="173"/>
      <c r="U790" s="173"/>
      <c r="V790" s="173"/>
      <c r="W790" s="173"/>
      <c r="X790" s="173"/>
      <c r="Y790" s="173"/>
      <c r="Z790" s="173"/>
      <c r="AA790" s="173"/>
      <c r="AB790" s="173"/>
      <c r="AC790" s="173"/>
      <c r="AD790" s="173"/>
      <c r="AE790" s="173"/>
      <c r="AF790" s="173"/>
      <c r="AG790" s="173"/>
      <c r="AH790" s="173"/>
      <c r="AI790" s="173"/>
      <c r="AJ790" s="173"/>
      <c r="AK790" s="173"/>
      <c r="AL790" s="173"/>
      <c r="AM790" s="173"/>
      <c r="AN790" s="173"/>
      <c r="AO790" s="173"/>
      <c r="AP790" s="173"/>
    </row>
    <row r="791" spans="6:42">
      <c r="F791" s="692"/>
      <c r="G791" s="692"/>
      <c r="H791" s="692"/>
      <c r="I791" s="692"/>
      <c r="J791" s="692"/>
      <c r="K791" s="692"/>
      <c r="L791" s="692"/>
      <c r="M791" s="692"/>
      <c r="N791" s="692"/>
      <c r="O791" s="692"/>
      <c r="P791" s="692"/>
      <c r="Q791" s="173"/>
      <c r="R791" s="173"/>
      <c r="S791" s="173"/>
      <c r="T791" s="173"/>
      <c r="U791" s="173"/>
      <c r="V791" s="173"/>
      <c r="W791" s="173"/>
      <c r="X791" s="173"/>
      <c r="Y791" s="173"/>
      <c r="Z791" s="173"/>
      <c r="AA791" s="173"/>
      <c r="AB791" s="173"/>
      <c r="AC791" s="173"/>
      <c r="AD791" s="173"/>
      <c r="AE791" s="173"/>
      <c r="AF791" s="173"/>
      <c r="AG791" s="173"/>
      <c r="AH791" s="173"/>
      <c r="AI791" s="173"/>
      <c r="AJ791" s="173"/>
      <c r="AK791" s="173"/>
      <c r="AL791" s="173"/>
      <c r="AM791" s="173"/>
      <c r="AN791" s="173"/>
      <c r="AO791" s="173"/>
      <c r="AP791" s="173"/>
    </row>
    <row r="792" spans="6:42">
      <c r="F792" s="692"/>
      <c r="G792" s="692"/>
      <c r="H792" s="692"/>
      <c r="I792" s="692"/>
      <c r="J792" s="692"/>
      <c r="K792" s="692"/>
      <c r="L792" s="692"/>
      <c r="M792" s="692"/>
      <c r="N792" s="692"/>
      <c r="O792" s="692"/>
      <c r="P792" s="692"/>
      <c r="Q792" s="173"/>
      <c r="R792" s="173"/>
      <c r="S792" s="173"/>
      <c r="T792" s="173"/>
      <c r="U792" s="173"/>
      <c r="V792" s="173"/>
      <c r="W792" s="173"/>
      <c r="X792" s="173"/>
      <c r="Y792" s="173"/>
      <c r="Z792" s="173"/>
      <c r="AA792" s="173"/>
      <c r="AB792" s="173"/>
      <c r="AC792" s="173"/>
      <c r="AD792" s="173"/>
      <c r="AE792" s="173"/>
      <c r="AF792" s="173"/>
      <c r="AG792" s="173"/>
      <c r="AH792" s="173"/>
      <c r="AI792" s="173"/>
      <c r="AJ792" s="173"/>
      <c r="AK792" s="173"/>
      <c r="AL792" s="173"/>
      <c r="AM792" s="173"/>
      <c r="AN792" s="173"/>
      <c r="AO792" s="173"/>
      <c r="AP792" s="173"/>
    </row>
    <row r="793" spans="6:42">
      <c r="F793" s="692"/>
      <c r="G793" s="692"/>
      <c r="H793" s="692"/>
      <c r="I793" s="692"/>
      <c r="J793" s="692"/>
      <c r="K793" s="692"/>
      <c r="L793" s="692"/>
      <c r="M793" s="692"/>
      <c r="N793" s="692"/>
      <c r="O793" s="692"/>
      <c r="P793" s="692"/>
      <c r="Q793" s="173"/>
      <c r="R793" s="173"/>
      <c r="S793" s="173"/>
      <c r="T793" s="173"/>
      <c r="U793" s="173"/>
      <c r="V793" s="173"/>
      <c r="W793" s="173"/>
      <c r="X793" s="173"/>
      <c r="Y793" s="173"/>
      <c r="Z793" s="173"/>
      <c r="AA793" s="173"/>
      <c r="AB793" s="173"/>
      <c r="AC793" s="173"/>
      <c r="AD793" s="173"/>
      <c r="AE793" s="173"/>
      <c r="AF793" s="173"/>
      <c r="AG793" s="173"/>
      <c r="AH793" s="173"/>
      <c r="AI793" s="173"/>
      <c r="AJ793" s="173"/>
      <c r="AK793" s="173"/>
      <c r="AL793" s="173"/>
      <c r="AM793" s="173"/>
      <c r="AN793" s="173"/>
      <c r="AO793" s="173"/>
      <c r="AP793" s="173"/>
    </row>
    <row r="794" spans="6:42">
      <c r="F794" s="692"/>
      <c r="G794" s="692"/>
      <c r="H794" s="692"/>
      <c r="I794" s="692"/>
      <c r="J794" s="692"/>
      <c r="K794" s="692"/>
      <c r="L794" s="692"/>
      <c r="M794" s="692"/>
      <c r="N794" s="692"/>
      <c r="O794" s="692"/>
      <c r="P794" s="692"/>
      <c r="Q794" s="173"/>
      <c r="R794" s="173"/>
      <c r="S794" s="173"/>
      <c r="T794" s="173"/>
      <c r="U794" s="173"/>
      <c r="V794" s="173"/>
      <c r="W794" s="173"/>
      <c r="X794" s="173"/>
      <c r="Y794" s="173"/>
      <c r="Z794" s="173"/>
      <c r="AA794" s="173"/>
      <c r="AB794" s="173"/>
      <c r="AC794" s="173"/>
      <c r="AD794" s="173"/>
      <c r="AE794" s="173"/>
      <c r="AF794" s="173"/>
      <c r="AG794" s="173"/>
      <c r="AH794" s="173"/>
      <c r="AI794" s="173"/>
      <c r="AJ794" s="173"/>
      <c r="AK794" s="173"/>
      <c r="AL794" s="173"/>
      <c r="AM794" s="173"/>
      <c r="AN794" s="173"/>
      <c r="AO794" s="173"/>
      <c r="AP794" s="173"/>
    </row>
    <row r="795" spans="6:42">
      <c r="F795" s="692"/>
      <c r="G795" s="692"/>
      <c r="H795" s="692"/>
      <c r="I795" s="692"/>
      <c r="J795" s="692"/>
      <c r="K795" s="692"/>
      <c r="L795" s="692"/>
      <c r="M795" s="692"/>
      <c r="N795" s="692"/>
      <c r="O795" s="692"/>
      <c r="P795" s="692"/>
      <c r="Q795" s="173"/>
      <c r="R795" s="173"/>
      <c r="S795" s="173"/>
      <c r="T795" s="173"/>
      <c r="U795" s="173"/>
      <c r="V795" s="173"/>
      <c r="W795" s="173"/>
      <c r="X795" s="173"/>
      <c r="Y795" s="173"/>
      <c r="Z795" s="173"/>
      <c r="AA795" s="173"/>
      <c r="AB795" s="173"/>
      <c r="AC795" s="173"/>
      <c r="AD795" s="173"/>
      <c r="AE795" s="173"/>
      <c r="AF795" s="173"/>
      <c r="AG795" s="173"/>
      <c r="AH795" s="173"/>
      <c r="AI795" s="173"/>
      <c r="AJ795" s="173"/>
      <c r="AK795" s="173"/>
      <c r="AL795" s="173"/>
      <c r="AM795" s="173"/>
      <c r="AN795" s="173"/>
      <c r="AO795" s="173"/>
      <c r="AP795" s="173"/>
    </row>
    <row r="796" spans="6:42">
      <c r="F796" s="692"/>
      <c r="G796" s="692"/>
      <c r="H796" s="692"/>
      <c r="I796" s="692"/>
      <c r="J796" s="692"/>
      <c r="K796" s="692"/>
      <c r="L796" s="692"/>
      <c r="M796" s="692"/>
      <c r="N796" s="692"/>
      <c r="O796" s="692"/>
      <c r="P796" s="692"/>
      <c r="Q796" s="173"/>
      <c r="R796" s="173"/>
      <c r="S796" s="173"/>
      <c r="T796" s="173"/>
      <c r="U796" s="173"/>
      <c r="V796" s="173"/>
      <c r="W796" s="173"/>
      <c r="X796" s="173"/>
      <c r="Y796" s="173"/>
      <c r="Z796" s="173"/>
      <c r="AA796" s="173"/>
      <c r="AB796" s="173"/>
      <c r="AC796" s="173"/>
      <c r="AD796" s="173"/>
      <c r="AE796" s="173"/>
      <c r="AF796" s="173"/>
      <c r="AG796" s="173"/>
      <c r="AH796" s="173"/>
      <c r="AI796" s="173"/>
      <c r="AJ796" s="173"/>
      <c r="AK796" s="173"/>
      <c r="AL796" s="173"/>
      <c r="AM796" s="173"/>
      <c r="AN796" s="173"/>
      <c r="AO796" s="173"/>
      <c r="AP796" s="173"/>
    </row>
    <row r="797" spans="6:42">
      <c r="F797" s="692"/>
      <c r="G797" s="692"/>
      <c r="H797" s="692"/>
      <c r="I797" s="692"/>
      <c r="J797" s="692"/>
      <c r="K797" s="692"/>
      <c r="L797" s="692"/>
      <c r="M797" s="692"/>
      <c r="N797" s="692"/>
      <c r="O797" s="692"/>
      <c r="P797" s="692"/>
      <c r="Q797" s="173"/>
      <c r="R797" s="173"/>
      <c r="S797" s="173"/>
      <c r="T797" s="173"/>
      <c r="U797" s="173"/>
      <c r="V797" s="173"/>
      <c r="W797" s="173"/>
      <c r="X797" s="173"/>
      <c r="Y797" s="173"/>
      <c r="Z797" s="173"/>
      <c r="AA797" s="173"/>
      <c r="AB797" s="173"/>
      <c r="AC797" s="173"/>
      <c r="AD797" s="173"/>
      <c r="AE797" s="173"/>
      <c r="AF797" s="173"/>
      <c r="AG797" s="173"/>
      <c r="AH797" s="173"/>
      <c r="AI797" s="173"/>
      <c r="AJ797" s="173"/>
      <c r="AK797" s="173"/>
      <c r="AL797" s="173"/>
      <c r="AM797" s="173"/>
      <c r="AN797" s="173"/>
      <c r="AO797" s="173"/>
      <c r="AP797" s="173"/>
    </row>
    <row r="798" spans="6:42">
      <c r="F798" s="692"/>
      <c r="G798" s="692"/>
      <c r="H798" s="692"/>
      <c r="I798" s="692"/>
      <c r="J798" s="692"/>
      <c r="K798" s="692"/>
      <c r="L798" s="692"/>
      <c r="M798" s="692"/>
      <c r="N798" s="692"/>
      <c r="O798" s="692"/>
      <c r="P798" s="692"/>
      <c r="Q798" s="173"/>
      <c r="R798" s="173"/>
      <c r="S798" s="173"/>
      <c r="T798" s="173"/>
      <c r="U798" s="173"/>
      <c r="V798" s="173"/>
      <c r="W798" s="173"/>
      <c r="X798" s="173"/>
      <c r="Y798" s="173"/>
      <c r="Z798" s="173"/>
      <c r="AA798" s="173"/>
      <c r="AB798" s="173"/>
      <c r="AC798" s="173"/>
      <c r="AD798" s="173"/>
      <c r="AE798" s="173"/>
      <c r="AF798" s="173"/>
      <c r="AG798" s="173"/>
      <c r="AH798" s="173"/>
      <c r="AI798" s="173"/>
      <c r="AJ798" s="173"/>
      <c r="AK798" s="173"/>
      <c r="AL798" s="173"/>
      <c r="AM798" s="173"/>
      <c r="AN798" s="173"/>
      <c r="AO798" s="173"/>
      <c r="AP798" s="173"/>
    </row>
    <row r="799" spans="6:42">
      <c r="F799" s="692"/>
      <c r="G799" s="692"/>
      <c r="H799" s="692"/>
      <c r="I799" s="692"/>
      <c r="J799" s="692"/>
      <c r="K799" s="692"/>
      <c r="L799" s="692"/>
      <c r="M799" s="692"/>
      <c r="N799" s="692"/>
      <c r="O799" s="692"/>
      <c r="P799" s="692"/>
      <c r="Q799" s="173"/>
      <c r="R799" s="173"/>
      <c r="S799" s="173"/>
      <c r="T799" s="173"/>
      <c r="U799" s="173"/>
      <c r="V799" s="173"/>
      <c r="W799" s="173"/>
      <c r="X799" s="173"/>
      <c r="Y799" s="173"/>
      <c r="Z799" s="173"/>
      <c r="AA799" s="173"/>
      <c r="AB799" s="173"/>
      <c r="AC799" s="173"/>
      <c r="AD799" s="173"/>
      <c r="AE799" s="173"/>
      <c r="AF799" s="173"/>
      <c r="AG799" s="173"/>
      <c r="AH799" s="173"/>
      <c r="AI799" s="173"/>
      <c r="AJ799" s="173"/>
      <c r="AK799" s="173"/>
      <c r="AL799" s="173"/>
      <c r="AM799" s="173"/>
      <c r="AN799" s="173"/>
      <c r="AO799" s="173"/>
      <c r="AP799" s="173"/>
    </row>
    <row r="800" spans="6:42">
      <c r="F800" s="692"/>
      <c r="G800" s="692"/>
      <c r="H800" s="692"/>
      <c r="I800" s="692"/>
      <c r="J800" s="692"/>
      <c r="K800" s="692"/>
      <c r="L800" s="692"/>
      <c r="M800" s="692"/>
      <c r="N800" s="692"/>
      <c r="O800" s="692"/>
      <c r="P800" s="692"/>
      <c r="Q800" s="173"/>
      <c r="R800" s="173"/>
      <c r="S800" s="173"/>
      <c r="T800" s="173"/>
      <c r="U800" s="173"/>
      <c r="V800" s="173"/>
      <c r="W800" s="173"/>
      <c r="X800" s="173"/>
      <c r="Y800" s="173"/>
      <c r="Z800" s="173"/>
      <c r="AA800" s="173"/>
      <c r="AB800" s="173"/>
      <c r="AC800" s="173"/>
      <c r="AD800" s="173"/>
      <c r="AE800" s="173"/>
      <c r="AF800" s="173"/>
      <c r="AG800" s="173"/>
      <c r="AH800" s="173"/>
      <c r="AI800" s="173"/>
      <c r="AJ800" s="173"/>
      <c r="AK800" s="173"/>
      <c r="AL800" s="173"/>
      <c r="AM800" s="173"/>
      <c r="AN800" s="173"/>
      <c r="AO800" s="173"/>
      <c r="AP800" s="173"/>
    </row>
    <row r="801" spans="6:42">
      <c r="F801" s="692"/>
      <c r="G801" s="692"/>
      <c r="H801" s="692"/>
      <c r="I801" s="692"/>
      <c r="J801" s="692"/>
      <c r="K801" s="692"/>
      <c r="L801" s="692"/>
      <c r="M801" s="692"/>
      <c r="N801" s="692"/>
      <c r="O801" s="692"/>
      <c r="P801" s="692"/>
      <c r="Q801" s="173"/>
      <c r="R801" s="173"/>
      <c r="S801" s="173"/>
      <c r="T801" s="173"/>
      <c r="U801" s="173"/>
      <c r="V801" s="173"/>
      <c r="W801" s="173"/>
      <c r="X801" s="173"/>
      <c r="Y801" s="173"/>
      <c r="Z801" s="173"/>
      <c r="AA801" s="173"/>
      <c r="AB801" s="173"/>
      <c r="AC801" s="173"/>
      <c r="AD801" s="173"/>
      <c r="AE801" s="173"/>
      <c r="AF801" s="173"/>
      <c r="AG801" s="173"/>
      <c r="AH801" s="173"/>
      <c r="AI801" s="173"/>
      <c r="AJ801" s="173"/>
      <c r="AK801" s="173"/>
      <c r="AL801" s="173"/>
      <c r="AM801" s="173"/>
      <c r="AN801" s="173"/>
      <c r="AO801" s="173"/>
      <c r="AP801" s="173"/>
    </row>
    <row r="802" spans="6:42">
      <c r="F802" s="692"/>
      <c r="G802" s="692"/>
      <c r="H802" s="692"/>
      <c r="I802" s="692"/>
      <c r="J802" s="692"/>
      <c r="K802" s="692"/>
      <c r="L802" s="692"/>
      <c r="M802" s="692"/>
      <c r="N802" s="692"/>
      <c r="O802" s="692"/>
      <c r="P802" s="692"/>
      <c r="Q802" s="173"/>
      <c r="R802" s="173"/>
      <c r="S802" s="173"/>
      <c r="T802" s="173"/>
      <c r="U802" s="173"/>
      <c r="V802" s="173"/>
      <c r="W802" s="173"/>
      <c r="X802" s="173"/>
      <c r="Y802" s="173"/>
      <c r="Z802" s="173"/>
      <c r="AA802" s="173"/>
      <c r="AB802" s="173"/>
      <c r="AC802" s="173"/>
      <c r="AD802" s="173"/>
      <c r="AE802" s="173"/>
      <c r="AF802" s="173"/>
      <c r="AG802" s="173"/>
      <c r="AH802" s="173"/>
      <c r="AI802" s="173"/>
      <c r="AJ802" s="173"/>
      <c r="AK802" s="173"/>
      <c r="AL802" s="173"/>
      <c r="AM802" s="173"/>
      <c r="AN802" s="173"/>
      <c r="AO802" s="173"/>
      <c r="AP802" s="173"/>
    </row>
    <row r="803" spans="6:42">
      <c r="F803" s="692"/>
      <c r="G803" s="692"/>
      <c r="H803" s="692"/>
      <c r="I803" s="692"/>
      <c r="J803" s="692"/>
      <c r="K803" s="692"/>
      <c r="L803" s="692"/>
      <c r="M803" s="692"/>
      <c r="N803" s="692"/>
      <c r="O803" s="692"/>
      <c r="P803" s="692"/>
      <c r="Q803" s="173"/>
      <c r="R803" s="173"/>
      <c r="S803" s="173"/>
      <c r="T803" s="173"/>
      <c r="U803" s="173"/>
      <c r="V803" s="173"/>
      <c r="W803" s="173"/>
      <c r="X803" s="173"/>
      <c r="Y803" s="173"/>
      <c r="Z803" s="173"/>
      <c r="AA803" s="173"/>
      <c r="AB803" s="173"/>
      <c r="AC803" s="173"/>
      <c r="AD803" s="173"/>
      <c r="AE803" s="173"/>
      <c r="AF803" s="173"/>
      <c r="AG803" s="173"/>
      <c r="AH803" s="173"/>
      <c r="AI803" s="173"/>
      <c r="AJ803" s="173"/>
      <c r="AK803" s="173"/>
      <c r="AL803" s="173"/>
      <c r="AM803" s="173"/>
      <c r="AN803" s="173"/>
      <c r="AO803" s="173"/>
      <c r="AP803" s="173"/>
    </row>
    <row r="804" spans="6:42">
      <c r="F804" s="692"/>
      <c r="G804" s="692"/>
      <c r="H804" s="692"/>
      <c r="I804" s="692"/>
      <c r="J804" s="692"/>
      <c r="K804" s="692"/>
      <c r="L804" s="692"/>
      <c r="M804" s="692"/>
      <c r="N804" s="692"/>
      <c r="O804" s="692"/>
      <c r="P804" s="692"/>
      <c r="Q804" s="173"/>
      <c r="R804" s="173"/>
      <c r="S804" s="173"/>
      <c r="T804" s="173"/>
      <c r="U804" s="173"/>
      <c r="V804" s="173"/>
      <c r="W804" s="173"/>
      <c r="X804" s="173"/>
      <c r="Y804" s="173"/>
      <c r="Z804" s="173"/>
      <c r="AA804" s="173"/>
      <c r="AB804" s="173"/>
      <c r="AC804" s="173"/>
      <c r="AD804" s="173"/>
      <c r="AE804" s="173"/>
      <c r="AF804" s="173"/>
      <c r="AG804" s="173"/>
      <c r="AH804" s="173"/>
      <c r="AI804" s="173"/>
      <c r="AJ804" s="173"/>
      <c r="AK804" s="173"/>
      <c r="AL804" s="173"/>
      <c r="AM804" s="173"/>
      <c r="AN804" s="173"/>
      <c r="AO804" s="173"/>
      <c r="AP804" s="173"/>
    </row>
    <row r="805" spans="6:42">
      <c r="F805" s="692"/>
      <c r="G805" s="692"/>
      <c r="H805" s="692"/>
      <c r="I805" s="692"/>
      <c r="J805" s="692"/>
      <c r="K805" s="692"/>
      <c r="L805" s="692"/>
      <c r="M805" s="692"/>
      <c r="N805" s="692"/>
      <c r="O805" s="692"/>
      <c r="P805" s="692"/>
      <c r="Q805" s="173"/>
      <c r="R805" s="173"/>
      <c r="S805" s="173"/>
      <c r="T805" s="173"/>
      <c r="U805" s="173"/>
      <c r="V805" s="173"/>
      <c r="W805" s="173"/>
      <c r="X805" s="173"/>
      <c r="Y805" s="173"/>
      <c r="Z805" s="173"/>
      <c r="AA805" s="173"/>
      <c r="AB805" s="173"/>
      <c r="AC805" s="173"/>
      <c r="AD805" s="173"/>
      <c r="AE805" s="173"/>
      <c r="AF805" s="173"/>
      <c r="AG805" s="173"/>
      <c r="AH805" s="173"/>
      <c r="AI805" s="173"/>
      <c r="AJ805" s="173"/>
      <c r="AK805" s="173"/>
      <c r="AL805" s="173"/>
      <c r="AM805" s="173"/>
      <c r="AN805" s="173"/>
      <c r="AO805" s="173"/>
      <c r="AP805" s="173"/>
    </row>
    <row r="806" spans="6:42">
      <c r="F806" s="692"/>
      <c r="G806" s="692"/>
      <c r="H806" s="692"/>
      <c r="I806" s="692"/>
      <c r="J806" s="692"/>
      <c r="K806" s="692"/>
      <c r="L806" s="692"/>
      <c r="M806" s="692"/>
      <c r="N806" s="692"/>
      <c r="O806" s="692"/>
      <c r="P806" s="692"/>
      <c r="Q806" s="173"/>
      <c r="R806" s="173"/>
      <c r="S806" s="173"/>
      <c r="T806" s="173"/>
      <c r="U806" s="173"/>
      <c r="V806" s="173"/>
      <c r="W806" s="173"/>
      <c r="X806" s="173"/>
      <c r="Y806" s="173"/>
      <c r="Z806" s="173"/>
      <c r="AA806" s="173"/>
      <c r="AB806" s="173"/>
      <c r="AC806" s="173"/>
      <c r="AD806" s="173"/>
      <c r="AE806" s="173"/>
      <c r="AF806" s="173"/>
      <c r="AG806" s="173"/>
      <c r="AH806" s="173"/>
      <c r="AI806" s="173"/>
      <c r="AJ806" s="173"/>
      <c r="AK806" s="173"/>
      <c r="AL806" s="173"/>
      <c r="AM806" s="173"/>
      <c r="AN806" s="173"/>
      <c r="AO806" s="173"/>
      <c r="AP806" s="173"/>
    </row>
    <row r="807" spans="6:42">
      <c r="F807" s="692"/>
      <c r="G807" s="692"/>
      <c r="H807" s="692"/>
      <c r="I807" s="692"/>
      <c r="J807" s="692"/>
      <c r="K807" s="692"/>
      <c r="L807" s="692"/>
      <c r="M807" s="692"/>
      <c r="N807" s="692"/>
      <c r="O807" s="692"/>
      <c r="P807" s="692"/>
      <c r="Q807" s="173"/>
      <c r="R807" s="173"/>
      <c r="S807" s="173"/>
      <c r="T807" s="173"/>
      <c r="U807" s="173"/>
      <c r="V807" s="173"/>
      <c r="W807" s="173"/>
      <c r="X807" s="173"/>
      <c r="Y807" s="173"/>
      <c r="Z807" s="173"/>
      <c r="AA807" s="173"/>
      <c r="AB807" s="173"/>
      <c r="AC807" s="173"/>
      <c r="AD807" s="173"/>
      <c r="AE807" s="173"/>
      <c r="AF807" s="173"/>
      <c r="AG807" s="173"/>
      <c r="AH807" s="173"/>
      <c r="AI807" s="173"/>
      <c r="AJ807" s="173"/>
      <c r="AK807" s="173"/>
      <c r="AL807" s="173"/>
      <c r="AM807" s="173"/>
      <c r="AN807" s="173"/>
      <c r="AO807" s="173"/>
      <c r="AP807" s="173"/>
    </row>
    <row r="808" spans="6:42">
      <c r="F808" s="692"/>
      <c r="G808" s="692"/>
      <c r="H808" s="692"/>
      <c r="I808" s="692"/>
      <c r="J808" s="692"/>
      <c r="K808" s="692"/>
      <c r="L808" s="692"/>
      <c r="M808" s="692"/>
      <c r="N808" s="692"/>
      <c r="O808" s="692"/>
      <c r="P808" s="692"/>
      <c r="Q808" s="173"/>
      <c r="R808" s="173"/>
      <c r="S808" s="173"/>
      <c r="T808" s="173"/>
      <c r="U808" s="173"/>
      <c r="V808" s="173"/>
      <c r="W808" s="173"/>
      <c r="X808" s="173"/>
      <c r="Y808" s="173"/>
      <c r="Z808" s="173"/>
      <c r="AA808" s="173"/>
      <c r="AB808" s="173"/>
      <c r="AC808" s="173"/>
      <c r="AD808" s="173"/>
      <c r="AE808" s="173"/>
      <c r="AF808" s="173"/>
      <c r="AG808" s="173"/>
      <c r="AH808" s="173"/>
      <c r="AI808" s="173"/>
      <c r="AJ808" s="173"/>
      <c r="AK808" s="173"/>
      <c r="AL808" s="173"/>
      <c r="AM808" s="173"/>
      <c r="AN808" s="173"/>
      <c r="AO808" s="173"/>
      <c r="AP808" s="173"/>
    </row>
    <row r="809" spans="6:42">
      <c r="F809" s="692"/>
      <c r="G809" s="692"/>
      <c r="H809" s="692"/>
      <c r="I809" s="692"/>
      <c r="J809" s="692"/>
      <c r="K809" s="692"/>
      <c r="L809" s="692"/>
      <c r="M809" s="692"/>
      <c r="N809" s="692"/>
      <c r="O809" s="692"/>
      <c r="P809" s="692"/>
      <c r="Q809" s="173"/>
      <c r="R809" s="173"/>
      <c r="S809" s="173"/>
      <c r="T809" s="173"/>
      <c r="U809" s="173"/>
      <c r="V809" s="173"/>
      <c r="W809" s="173"/>
      <c r="X809" s="173"/>
      <c r="Y809" s="173"/>
      <c r="Z809" s="173"/>
      <c r="AA809" s="173"/>
      <c r="AB809" s="173"/>
      <c r="AC809" s="173"/>
      <c r="AD809" s="173"/>
      <c r="AE809" s="173"/>
      <c r="AF809" s="173"/>
      <c r="AG809" s="173"/>
      <c r="AH809" s="173"/>
      <c r="AI809" s="173"/>
      <c r="AJ809" s="173"/>
      <c r="AK809" s="173"/>
      <c r="AL809" s="173"/>
      <c r="AM809" s="173"/>
      <c r="AN809" s="173"/>
      <c r="AO809" s="173"/>
      <c r="AP809" s="173"/>
    </row>
    <row r="810" spans="6:42">
      <c r="F810" s="692"/>
      <c r="G810" s="692"/>
      <c r="H810" s="692"/>
      <c r="I810" s="692"/>
      <c r="J810" s="692"/>
      <c r="K810" s="692"/>
      <c r="L810" s="692"/>
      <c r="M810" s="692"/>
      <c r="N810" s="692"/>
      <c r="O810" s="692"/>
      <c r="P810" s="692"/>
      <c r="Q810" s="173"/>
      <c r="R810" s="173"/>
      <c r="S810" s="173"/>
      <c r="T810" s="173"/>
      <c r="U810" s="173"/>
      <c r="V810" s="173"/>
      <c r="W810" s="173"/>
      <c r="X810" s="173"/>
      <c r="Y810" s="173"/>
      <c r="Z810" s="173"/>
      <c r="AA810" s="173"/>
      <c r="AB810" s="173"/>
      <c r="AC810" s="173"/>
      <c r="AD810" s="173"/>
      <c r="AE810" s="173"/>
      <c r="AF810" s="173"/>
      <c r="AG810" s="173"/>
      <c r="AH810" s="173"/>
      <c r="AI810" s="173"/>
      <c r="AJ810" s="173"/>
      <c r="AK810" s="173"/>
      <c r="AL810" s="173"/>
      <c r="AM810" s="173"/>
      <c r="AN810" s="173"/>
      <c r="AO810" s="173"/>
      <c r="AP810" s="173"/>
    </row>
    <row r="811" spans="6:42">
      <c r="F811" s="692"/>
      <c r="G811" s="692"/>
      <c r="H811" s="692"/>
      <c r="I811" s="692"/>
      <c r="J811" s="692"/>
      <c r="K811" s="692"/>
      <c r="L811" s="692"/>
      <c r="M811" s="692"/>
      <c r="N811" s="692"/>
      <c r="O811" s="692"/>
      <c r="P811" s="692"/>
      <c r="Q811" s="173"/>
      <c r="R811" s="173"/>
      <c r="S811" s="173"/>
      <c r="T811" s="173"/>
      <c r="U811" s="173"/>
      <c r="V811" s="173"/>
      <c r="W811" s="173"/>
      <c r="X811" s="173"/>
      <c r="Y811" s="173"/>
      <c r="Z811" s="173"/>
      <c r="AA811" s="173"/>
      <c r="AB811" s="173"/>
      <c r="AC811" s="173"/>
      <c r="AD811" s="173"/>
      <c r="AE811" s="173"/>
      <c r="AF811" s="173"/>
      <c r="AG811" s="173"/>
      <c r="AH811" s="173"/>
      <c r="AI811" s="173"/>
      <c r="AJ811" s="173"/>
      <c r="AK811" s="173"/>
      <c r="AL811" s="173"/>
      <c r="AM811" s="173"/>
      <c r="AN811" s="173"/>
      <c r="AO811" s="173"/>
      <c r="AP811" s="173"/>
    </row>
    <row r="812" spans="6:42">
      <c r="F812" s="692"/>
      <c r="G812" s="692"/>
      <c r="H812" s="692"/>
      <c r="I812" s="692"/>
      <c r="J812" s="692"/>
      <c r="K812" s="692"/>
      <c r="L812" s="692"/>
      <c r="M812" s="692"/>
      <c r="N812" s="692"/>
      <c r="O812" s="692"/>
      <c r="P812" s="692"/>
      <c r="Q812" s="173"/>
      <c r="R812" s="173"/>
      <c r="S812" s="173"/>
      <c r="T812" s="173"/>
      <c r="U812" s="173"/>
      <c r="V812" s="173"/>
      <c r="W812" s="173"/>
      <c r="X812" s="173"/>
      <c r="Y812" s="173"/>
      <c r="Z812" s="173"/>
      <c r="AA812" s="173"/>
      <c r="AB812" s="173"/>
      <c r="AC812" s="173"/>
      <c r="AD812" s="173"/>
      <c r="AE812" s="173"/>
      <c r="AF812" s="173"/>
      <c r="AG812" s="173"/>
      <c r="AH812" s="173"/>
      <c r="AI812" s="173"/>
      <c r="AJ812" s="173"/>
      <c r="AK812" s="173"/>
      <c r="AL812" s="173"/>
      <c r="AM812" s="173"/>
      <c r="AN812" s="173"/>
      <c r="AO812" s="173"/>
      <c r="AP812" s="173"/>
    </row>
    <row r="813" spans="6:42">
      <c r="F813" s="692"/>
      <c r="G813" s="692"/>
      <c r="H813" s="692"/>
      <c r="I813" s="692"/>
      <c r="J813" s="692"/>
      <c r="K813" s="692"/>
      <c r="L813" s="692"/>
      <c r="M813" s="692"/>
      <c r="N813" s="692"/>
      <c r="O813" s="692"/>
      <c r="P813" s="692"/>
      <c r="Q813" s="173"/>
      <c r="R813" s="173"/>
      <c r="S813" s="173"/>
      <c r="T813" s="173"/>
      <c r="U813" s="173"/>
      <c r="V813" s="173"/>
      <c r="W813" s="173"/>
      <c r="X813" s="173"/>
      <c r="Y813" s="173"/>
      <c r="Z813" s="173"/>
      <c r="AA813" s="173"/>
      <c r="AB813" s="173"/>
      <c r="AC813" s="173"/>
      <c r="AD813" s="173"/>
      <c r="AE813" s="173"/>
      <c r="AF813" s="173"/>
      <c r="AG813" s="173"/>
      <c r="AH813" s="173"/>
      <c r="AI813" s="173"/>
      <c r="AJ813" s="173"/>
      <c r="AK813" s="173"/>
      <c r="AL813" s="173"/>
      <c r="AM813" s="173"/>
      <c r="AN813" s="173"/>
      <c r="AO813" s="173"/>
      <c r="AP813" s="173"/>
    </row>
    <row r="814" spans="6:42">
      <c r="F814" s="692"/>
      <c r="G814" s="692"/>
      <c r="H814" s="692"/>
      <c r="I814" s="692"/>
      <c r="J814" s="692"/>
      <c r="K814" s="692"/>
      <c r="L814" s="692"/>
      <c r="M814" s="692"/>
      <c r="N814" s="692"/>
      <c r="O814" s="692"/>
      <c r="P814" s="692"/>
      <c r="Q814" s="173"/>
      <c r="R814" s="173"/>
      <c r="S814" s="173"/>
      <c r="T814" s="173"/>
      <c r="U814" s="173"/>
      <c r="V814" s="173"/>
      <c r="W814" s="173"/>
      <c r="X814" s="173"/>
      <c r="Y814" s="173"/>
      <c r="Z814" s="173"/>
      <c r="AA814" s="173"/>
      <c r="AB814" s="173"/>
      <c r="AC814" s="173"/>
      <c r="AD814" s="173"/>
      <c r="AE814" s="173"/>
      <c r="AF814" s="173"/>
      <c r="AG814" s="173"/>
      <c r="AH814" s="173"/>
      <c r="AI814" s="173"/>
      <c r="AJ814" s="173"/>
      <c r="AK814" s="173"/>
      <c r="AL814" s="173"/>
      <c r="AM814" s="173"/>
      <c r="AN814" s="173"/>
      <c r="AO814" s="173"/>
      <c r="AP814" s="173"/>
    </row>
    <row r="815" spans="6:42">
      <c r="F815" s="692"/>
      <c r="G815" s="692"/>
      <c r="H815" s="692"/>
      <c r="I815" s="692"/>
      <c r="J815" s="692"/>
      <c r="K815" s="692"/>
      <c r="L815" s="692"/>
      <c r="M815" s="692"/>
      <c r="N815" s="692"/>
      <c r="O815" s="692"/>
      <c r="P815" s="692"/>
      <c r="Q815" s="173"/>
      <c r="R815" s="173"/>
      <c r="S815" s="173"/>
      <c r="T815" s="173"/>
      <c r="U815" s="173"/>
      <c r="V815" s="173"/>
      <c r="W815" s="173"/>
      <c r="X815" s="173"/>
      <c r="Y815" s="173"/>
      <c r="Z815" s="173"/>
      <c r="AA815" s="173"/>
      <c r="AB815" s="173"/>
      <c r="AC815" s="173"/>
      <c r="AD815" s="173"/>
      <c r="AE815" s="173"/>
      <c r="AF815" s="173"/>
      <c r="AG815" s="173"/>
      <c r="AH815" s="173"/>
      <c r="AI815" s="173"/>
      <c r="AJ815" s="173"/>
      <c r="AK815" s="173"/>
      <c r="AL815" s="173"/>
      <c r="AM815" s="173"/>
      <c r="AN815" s="173"/>
      <c r="AO815" s="173"/>
      <c r="AP815" s="173"/>
    </row>
    <row r="816" spans="6:42">
      <c r="F816" s="692"/>
      <c r="G816" s="692"/>
      <c r="H816" s="692"/>
      <c r="I816" s="692"/>
      <c r="J816" s="692"/>
      <c r="K816" s="692"/>
      <c r="L816" s="692"/>
      <c r="M816" s="692"/>
      <c r="N816" s="692"/>
      <c r="O816" s="692"/>
      <c r="P816" s="692"/>
      <c r="Q816" s="173"/>
      <c r="R816" s="173"/>
      <c r="S816" s="173"/>
      <c r="T816" s="173"/>
      <c r="U816" s="173"/>
      <c r="V816" s="173"/>
      <c r="W816" s="173"/>
      <c r="X816" s="173"/>
      <c r="Y816" s="173"/>
      <c r="Z816" s="173"/>
      <c r="AA816" s="173"/>
      <c r="AB816" s="173"/>
      <c r="AC816" s="173"/>
      <c r="AD816" s="173"/>
      <c r="AE816" s="173"/>
      <c r="AF816" s="173"/>
      <c r="AG816" s="173"/>
      <c r="AH816" s="173"/>
      <c r="AI816" s="173"/>
      <c r="AJ816" s="173"/>
      <c r="AK816" s="173"/>
      <c r="AL816" s="173"/>
      <c r="AM816" s="173"/>
      <c r="AN816" s="173"/>
      <c r="AO816" s="173"/>
      <c r="AP816" s="173"/>
    </row>
    <row r="817" spans="6:42">
      <c r="F817" s="692"/>
      <c r="G817" s="692"/>
      <c r="H817" s="692"/>
      <c r="I817" s="692"/>
      <c r="J817" s="692"/>
      <c r="K817" s="692"/>
      <c r="L817" s="692"/>
      <c r="M817" s="692"/>
      <c r="N817" s="692"/>
      <c r="O817" s="692"/>
      <c r="P817" s="692"/>
      <c r="Q817" s="173"/>
      <c r="R817" s="173"/>
      <c r="S817" s="173"/>
      <c r="T817" s="173"/>
      <c r="U817" s="173"/>
      <c r="V817" s="173"/>
      <c r="W817" s="173"/>
      <c r="X817" s="173"/>
      <c r="Y817" s="173"/>
      <c r="Z817" s="173"/>
      <c r="AA817" s="173"/>
      <c r="AB817" s="173"/>
      <c r="AC817" s="173"/>
      <c r="AD817" s="173"/>
      <c r="AE817" s="173"/>
      <c r="AF817" s="173"/>
      <c r="AG817" s="173"/>
      <c r="AH817" s="173"/>
      <c r="AI817" s="173"/>
      <c r="AJ817" s="173"/>
      <c r="AK817" s="173"/>
      <c r="AL817" s="173"/>
      <c r="AM817" s="173"/>
      <c r="AN817" s="173"/>
      <c r="AO817" s="173"/>
      <c r="AP817" s="173"/>
    </row>
    <row r="818" spans="6:42">
      <c r="F818" s="692"/>
      <c r="G818" s="692"/>
      <c r="H818" s="692"/>
      <c r="I818" s="692"/>
      <c r="J818" s="692"/>
      <c r="K818" s="692"/>
      <c r="L818" s="692"/>
      <c r="M818" s="692"/>
      <c r="N818" s="692"/>
      <c r="O818" s="692"/>
      <c r="P818" s="692"/>
      <c r="Q818" s="173"/>
      <c r="R818" s="173"/>
      <c r="S818" s="173"/>
      <c r="T818" s="173"/>
      <c r="U818" s="173"/>
      <c r="V818" s="173"/>
      <c r="W818" s="173"/>
      <c r="X818" s="173"/>
      <c r="Y818" s="173"/>
      <c r="Z818" s="173"/>
      <c r="AA818" s="173"/>
      <c r="AB818" s="173"/>
      <c r="AC818" s="173"/>
      <c r="AD818" s="173"/>
      <c r="AE818" s="173"/>
      <c r="AF818" s="173"/>
      <c r="AG818" s="173"/>
      <c r="AH818" s="173"/>
      <c r="AI818" s="173"/>
      <c r="AJ818" s="173"/>
      <c r="AK818" s="173"/>
      <c r="AL818" s="173"/>
      <c r="AM818" s="173"/>
      <c r="AN818" s="173"/>
      <c r="AO818" s="173"/>
      <c r="AP818" s="173"/>
    </row>
    <row r="819" spans="6:42">
      <c r="F819" s="692"/>
      <c r="G819" s="692"/>
      <c r="H819" s="692"/>
      <c r="I819" s="692"/>
      <c r="J819" s="692"/>
      <c r="K819" s="692"/>
      <c r="L819" s="692"/>
      <c r="M819" s="692"/>
      <c r="N819" s="692"/>
      <c r="O819" s="692"/>
      <c r="P819" s="692"/>
      <c r="Q819" s="173"/>
      <c r="R819" s="173"/>
      <c r="S819" s="173"/>
      <c r="T819" s="173"/>
      <c r="U819" s="173"/>
      <c r="V819" s="173"/>
      <c r="W819" s="173"/>
      <c r="X819" s="173"/>
      <c r="Y819" s="173"/>
      <c r="Z819" s="173"/>
      <c r="AA819" s="173"/>
      <c r="AB819" s="173"/>
      <c r="AC819" s="173"/>
      <c r="AD819" s="173"/>
      <c r="AE819" s="173"/>
      <c r="AF819" s="173"/>
      <c r="AG819" s="173"/>
      <c r="AH819" s="173"/>
      <c r="AI819" s="173"/>
      <c r="AJ819" s="173"/>
      <c r="AK819" s="173"/>
      <c r="AL819" s="173"/>
      <c r="AM819" s="173"/>
      <c r="AN819" s="173"/>
      <c r="AO819" s="173"/>
      <c r="AP819" s="173"/>
    </row>
    <row r="820" spans="6:42">
      <c r="F820" s="692"/>
      <c r="G820" s="692"/>
      <c r="H820" s="692"/>
      <c r="I820" s="692"/>
      <c r="J820" s="692"/>
      <c r="K820" s="692"/>
      <c r="L820" s="692"/>
      <c r="M820" s="692"/>
      <c r="N820" s="692"/>
      <c r="O820" s="692"/>
      <c r="P820" s="692"/>
      <c r="Q820" s="173"/>
      <c r="R820" s="173"/>
      <c r="S820" s="173"/>
      <c r="T820" s="173"/>
      <c r="U820" s="173"/>
      <c r="V820" s="173"/>
      <c r="W820" s="173"/>
      <c r="X820" s="173"/>
      <c r="Y820" s="173"/>
      <c r="Z820" s="173"/>
      <c r="AA820" s="173"/>
      <c r="AB820" s="173"/>
      <c r="AC820" s="173"/>
      <c r="AD820" s="173"/>
      <c r="AE820" s="173"/>
      <c r="AF820" s="173"/>
      <c r="AG820" s="173"/>
      <c r="AH820" s="173"/>
      <c r="AI820" s="173"/>
      <c r="AJ820" s="173"/>
      <c r="AK820" s="173"/>
      <c r="AL820" s="173"/>
      <c r="AM820" s="173"/>
      <c r="AN820" s="173"/>
      <c r="AO820" s="173"/>
      <c r="AP820" s="173"/>
    </row>
    <row r="821" spans="6:42">
      <c r="F821" s="692"/>
      <c r="G821" s="692"/>
      <c r="H821" s="692"/>
      <c r="I821" s="692"/>
      <c r="J821" s="692"/>
      <c r="K821" s="692"/>
      <c r="L821" s="692"/>
      <c r="M821" s="692"/>
      <c r="N821" s="692"/>
      <c r="O821" s="692"/>
      <c r="P821" s="692"/>
      <c r="Q821" s="173"/>
      <c r="R821" s="173"/>
      <c r="S821" s="173"/>
      <c r="T821" s="173"/>
      <c r="U821" s="173"/>
      <c r="V821" s="173"/>
      <c r="W821" s="173"/>
      <c r="X821" s="173"/>
      <c r="Y821" s="173"/>
      <c r="Z821" s="173"/>
      <c r="AA821" s="173"/>
      <c r="AB821" s="173"/>
      <c r="AC821" s="173"/>
      <c r="AD821" s="173"/>
      <c r="AE821" s="173"/>
      <c r="AF821" s="173"/>
      <c r="AG821" s="173"/>
      <c r="AH821" s="173"/>
      <c r="AI821" s="173"/>
      <c r="AJ821" s="173"/>
      <c r="AK821" s="173"/>
      <c r="AL821" s="173"/>
      <c r="AM821" s="173"/>
      <c r="AN821" s="173"/>
      <c r="AO821" s="173"/>
      <c r="AP821" s="173"/>
    </row>
    <row r="822" spans="6:42">
      <c r="F822" s="692"/>
      <c r="G822" s="692"/>
      <c r="H822" s="692"/>
      <c r="I822" s="692"/>
      <c r="J822" s="692"/>
      <c r="K822" s="692"/>
      <c r="L822" s="692"/>
      <c r="M822" s="692"/>
      <c r="N822" s="692"/>
      <c r="O822" s="692"/>
      <c r="P822" s="692"/>
      <c r="Q822" s="173"/>
      <c r="R822" s="173"/>
      <c r="S822" s="173"/>
      <c r="T822" s="173"/>
      <c r="U822" s="173"/>
      <c r="V822" s="173"/>
      <c r="W822" s="173"/>
      <c r="X822" s="173"/>
      <c r="Y822" s="173"/>
      <c r="Z822" s="173"/>
      <c r="AA822" s="173"/>
      <c r="AB822" s="173"/>
      <c r="AC822" s="173"/>
      <c r="AD822" s="173"/>
      <c r="AE822" s="173"/>
      <c r="AF822" s="173"/>
      <c r="AG822" s="173"/>
      <c r="AH822" s="173"/>
      <c r="AI822" s="173"/>
      <c r="AJ822" s="173"/>
      <c r="AK822" s="173"/>
      <c r="AL822" s="173"/>
      <c r="AM822" s="173"/>
      <c r="AN822" s="173"/>
      <c r="AO822" s="173"/>
      <c r="AP822" s="173"/>
    </row>
    <row r="823" spans="6:42">
      <c r="F823" s="692"/>
      <c r="G823" s="692"/>
      <c r="H823" s="692"/>
      <c r="I823" s="692"/>
      <c r="J823" s="692"/>
      <c r="K823" s="692"/>
      <c r="L823" s="692"/>
      <c r="M823" s="692"/>
      <c r="N823" s="692"/>
      <c r="O823" s="692"/>
      <c r="P823" s="692"/>
      <c r="Q823" s="173"/>
      <c r="R823" s="173"/>
      <c r="S823" s="173"/>
      <c r="T823" s="173"/>
      <c r="U823" s="173"/>
      <c r="V823" s="173"/>
      <c r="W823" s="173"/>
      <c r="X823" s="173"/>
      <c r="Y823" s="173"/>
      <c r="Z823" s="173"/>
      <c r="AA823" s="173"/>
      <c r="AB823" s="173"/>
      <c r="AC823" s="173"/>
      <c r="AD823" s="173"/>
      <c r="AE823" s="173"/>
      <c r="AF823" s="173"/>
      <c r="AG823" s="173"/>
      <c r="AH823" s="173"/>
      <c r="AI823" s="173"/>
      <c r="AJ823" s="173"/>
      <c r="AK823" s="173"/>
      <c r="AL823" s="173"/>
      <c r="AM823" s="173"/>
      <c r="AN823" s="173"/>
      <c r="AO823" s="173"/>
      <c r="AP823" s="173"/>
    </row>
    <row r="824" spans="6:42">
      <c r="F824" s="692"/>
      <c r="G824" s="692"/>
      <c r="H824" s="692"/>
      <c r="I824" s="692"/>
      <c r="J824" s="692"/>
      <c r="K824" s="692"/>
      <c r="L824" s="692"/>
      <c r="M824" s="692"/>
      <c r="N824" s="692"/>
      <c r="O824" s="692"/>
      <c r="P824" s="692"/>
      <c r="Q824" s="173"/>
      <c r="R824" s="173"/>
      <c r="S824" s="173"/>
      <c r="T824" s="173"/>
      <c r="U824" s="173"/>
      <c r="V824" s="173"/>
      <c r="W824" s="173"/>
      <c r="X824" s="173"/>
      <c r="Y824" s="173"/>
      <c r="Z824" s="173"/>
      <c r="AA824" s="173"/>
      <c r="AB824" s="173"/>
      <c r="AC824" s="173"/>
      <c r="AD824" s="173"/>
      <c r="AE824" s="173"/>
      <c r="AF824" s="173"/>
      <c r="AG824" s="173"/>
      <c r="AH824" s="173"/>
      <c r="AI824" s="173"/>
      <c r="AJ824" s="173"/>
      <c r="AK824" s="173"/>
      <c r="AL824" s="173"/>
      <c r="AM824" s="173"/>
      <c r="AN824" s="173"/>
      <c r="AO824" s="173"/>
      <c r="AP824" s="173"/>
    </row>
    <row r="825" spans="6:42">
      <c r="F825" s="692"/>
      <c r="G825" s="692"/>
      <c r="H825" s="692"/>
      <c r="I825" s="692"/>
      <c r="J825" s="692"/>
      <c r="K825" s="692"/>
      <c r="L825" s="692"/>
      <c r="M825" s="692"/>
      <c r="N825" s="692"/>
      <c r="O825" s="692"/>
      <c r="P825" s="692"/>
      <c r="Q825" s="173"/>
      <c r="R825" s="173"/>
      <c r="S825" s="173"/>
      <c r="T825" s="173"/>
      <c r="U825" s="173"/>
      <c r="V825" s="173"/>
      <c r="W825" s="173"/>
      <c r="X825" s="173"/>
      <c r="Y825" s="173"/>
      <c r="Z825" s="173"/>
      <c r="AA825" s="173"/>
      <c r="AB825" s="173"/>
      <c r="AC825" s="173"/>
      <c r="AD825" s="173"/>
      <c r="AE825" s="173"/>
      <c r="AF825" s="173"/>
      <c r="AG825" s="173"/>
      <c r="AH825" s="173"/>
      <c r="AI825" s="173"/>
      <c r="AJ825" s="173"/>
      <c r="AK825" s="173"/>
      <c r="AL825" s="173"/>
      <c r="AM825" s="173"/>
      <c r="AN825" s="173"/>
      <c r="AO825" s="173"/>
      <c r="AP825" s="173"/>
    </row>
    <row r="826" spans="6:42">
      <c r="F826" s="692"/>
      <c r="G826" s="692"/>
      <c r="H826" s="692"/>
      <c r="I826" s="692"/>
      <c r="J826" s="692"/>
      <c r="K826" s="692"/>
      <c r="L826" s="692"/>
      <c r="M826" s="692"/>
      <c r="N826" s="692"/>
      <c r="O826" s="692"/>
      <c r="P826" s="692"/>
      <c r="Q826" s="173"/>
      <c r="R826" s="173"/>
      <c r="S826" s="173"/>
      <c r="T826" s="173"/>
      <c r="U826" s="173"/>
      <c r="V826" s="173"/>
      <c r="W826" s="173"/>
      <c r="X826" s="173"/>
      <c r="Y826" s="173"/>
      <c r="Z826" s="173"/>
      <c r="AA826" s="173"/>
      <c r="AB826" s="173"/>
      <c r="AC826" s="173"/>
      <c r="AD826" s="173"/>
      <c r="AE826" s="173"/>
      <c r="AF826" s="173"/>
      <c r="AG826" s="173"/>
      <c r="AH826" s="173"/>
      <c r="AI826" s="173"/>
      <c r="AJ826" s="173"/>
      <c r="AK826" s="173"/>
      <c r="AL826" s="173"/>
      <c r="AM826" s="173"/>
      <c r="AN826" s="173"/>
      <c r="AO826" s="173"/>
      <c r="AP826" s="173"/>
    </row>
    <row r="827" spans="6:42">
      <c r="F827" s="692"/>
      <c r="G827" s="692"/>
      <c r="H827" s="692"/>
      <c r="I827" s="692"/>
      <c r="J827" s="692"/>
      <c r="K827" s="692"/>
      <c r="L827" s="692"/>
      <c r="M827" s="692"/>
      <c r="N827" s="692"/>
      <c r="O827" s="692"/>
      <c r="P827" s="692"/>
      <c r="Q827" s="173"/>
      <c r="R827" s="173"/>
      <c r="S827" s="173"/>
      <c r="T827" s="173"/>
      <c r="U827" s="173"/>
      <c r="V827" s="173"/>
      <c r="W827" s="173"/>
      <c r="X827" s="173"/>
      <c r="Y827" s="173"/>
      <c r="Z827" s="173"/>
      <c r="AA827" s="173"/>
      <c r="AB827" s="173"/>
      <c r="AC827" s="173"/>
      <c r="AD827" s="173"/>
      <c r="AE827" s="173"/>
      <c r="AF827" s="173"/>
      <c r="AG827" s="173"/>
      <c r="AH827" s="173"/>
      <c r="AI827" s="173"/>
      <c r="AJ827" s="173"/>
      <c r="AK827" s="173"/>
      <c r="AL827" s="173"/>
      <c r="AM827" s="173"/>
      <c r="AN827" s="173"/>
      <c r="AO827" s="173"/>
      <c r="AP827" s="173"/>
    </row>
    <row r="828" spans="6:42">
      <c r="F828" s="692"/>
      <c r="G828" s="692"/>
      <c r="H828" s="692"/>
      <c r="I828" s="692"/>
      <c r="J828" s="692"/>
      <c r="K828" s="692"/>
      <c r="L828" s="692"/>
      <c r="M828" s="692"/>
      <c r="N828" s="692"/>
      <c r="O828" s="692"/>
      <c r="P828" s="692"/>
      <c r="Q828" s="173"/>
      <c r="R828" s="173"/>
      <c r="S828" s="173"/>
      <c r="T828" s="173"/>
      <c r="U828" s="173"/>
      <c r="V828" s="173"/>
      <c r="W828" s="173"/>
      <c r="X828" s="173"/>
      <c r="Y828" s="173"/>
      <c r="Z828" s="173"/>
      <c r="AA828" s="173"/>
      <c r="AB828" s="173"/>
      <c r="AC828" s="173"/>
      <c r="AD828" s="173"/>
      <c r="AE828" s="173"/>
      <c r="AF828" s="173"/>
      <c r="AG828" s="173"/>
      <c r="AH828" s="173"/>
      <c r="AI828" s="173"/>
      <c r="AJ828" s="173"/>
      <c r="AK828" s="173"/>
      <c r="AL828" s="173"/>
      <c r="AM828" s="173"/>
      <c r="AN828" s="173"/>
      <c r="AO828" s="173"/>
      <c r="AP828" s="173"/>
    </row>
    <row r="829" spans="6:42">
      <c r="F829" s="692"/>
      <c r="G829" s="692"/>
      <c r="H829" s="692"/>
      <c r="I829" s="692"/>
      <c r="J829" s="692"/>
      <c r="K829" s="692"/>
      <c r="L829" s="692"/>
      <c r="M829" s="692"/>
      <c r="N829" s="692"/>
      <c r="O829" s="692"/>
      <c r="P829" s="692"/>
      <c r="Q829" s="173"/>
      <c r="R829" s="173"/>
      <c r="S829" s="173"/>
      <c r="T829" s="173"/>
      <c r="U829" s="173"/>
      <c r="V829" s="173"/>
      <c r="W829" s="173"/>
      <c r="X829" s="173"/>
      <c r="Y829" s="173"/>
      <c r="Z829" s="173"/>
      <c r="AA829" s="173"/>
      <c r="AB829" s="173"/>
      <c r="AC829" s="173"/>
      <c r="AD829" s="173"/>
      <c r="AE829" s="173"/>
      <c r="AF829" s="173"/>
      <c r="AG829" s="173"/>
      <c r="AH829" s="173"/>
      <c r="AI829" s="173"/>
      <c r="AJ829" s="173"/>
      <c r="AK829" s="173"/>
      <c r="AL829" s="173"/>
      <c r="AM829" s="173"/>
      <c r="AN829" s="173"/>
      <c r="AO829" s="173"/>
      <c r="AP829" s="173"/>
    </row>
    <row r="830" spans="6:42">
      <c r="F830" s="692"/>
      <c r="G830" s="692"/>
      <c r="H830" s="692"/>
      <c r="I830" s="692"/>
      <c r="J830" s="692"/>
      <c r="K830" s="692"/>
      <c r="L830" s="692"/>
      <c r="M830" s="692"/>
      <c r="N830" s="692"/>
      <c r="O830" s="692"/>
      <c r="P830" s="692"/>
      <c r="Q830" s="173"/>
      <c r="R830" s="173"/>
      <c r="S830" s="173"/>
      <c r="T830" s="173"/>
      <c r="U830" s="173"/>
      <c r="V830" s="173"/>
      <c r="W830" s="173"/>
      <c r="X830" s="173"/>
      <c r="Y830" s="173"/>
      <c r="Z830" s="173"/>
      <c r="AA830" s="173"/>
      <c r="AB830" s="173"/>
      <c r="AC830" s="173"/>
      <c r="AD830" s="173"/>
      <c r="AE830" s="173"/>
      <c r="AF830" s="173"/>
      <c r="AG830" s="173"/>
      <c r="AH830" s="173"/>
      <c r="AI830" s="173"/>
      <c r="AJ830" s="173"/>
      <c r="AK830" s="173"/>
      <c r="AL830" s="173"/>
      <c r="AM830" s="173"/>
      <c r="AN830" s="173"/>
      <c r="AO830" s="173"/>
      <c r="AP830" s="173"/>
    </row>
    <row r="831" spans="6:42">
      <c r="F831" s="692"/>
      <c r="G831" s="692"/>
      <c r="H831" s="692"/>
      <c r="I831" s="692"/>
      <c r="J831" s="692"/>
      <c r="K831" s="692"/>
      <c r="L831" s="692"/>
      <c r="M831" s="692"/>
      <c r="N831" s="692"/>
      <c r="O831" s="692"/>
      <c r="P831" s="692"/>
      <c r="Q831" s="173"/>
      <c r="R831" s="173"/>
      <c r="S831" s="173"/>
      <c r="T831" s="173"/>
      <c r="U831" s="173"/>
      <c r="V831" s="173"/>
      <c r="W831" s="173"/>
      <c r="X831" s="173"/>
      <c r="Y831" s="173"/>
      <c r="Z831" s="173"/>
      <c r="AA831" s="173"/>
      <c r="AB831" s="173"/>
      <c r="AC831" s="173"/>
      <c r="AD831" s="173"/>
      <c r="AE831" s="173"/>
      <c r="AF831" s="173"/>
      <c r="AG831" s="173"/>
      <c r="AH831" s="173"/>
      <c r="AI831" s="173"/>
      <c r="AJ831" s="173"/>
      <c r="AK831" s="173"/>
      <c r="AL831" s="173"/>
      <c r="AM831" s="173"/>
      <c r="AN831" s="173"/>
      <c r="AO831" s="173"/>
      <c r="AP831" s="173"/>
    </row>
    <row r="832" spans="6:42">
      <c r="F832" s="692"/>
      <c r="G832" s="692"/>
      <c r="H832" s="692"/>
      <c r="I832" s="692"/>
      <c r="J832" s="692"/>
      <c r="K832" s="692"/>
      <c r="L832" s="692"/>
      <c r="M832" s="692"/>
      <c r="N832" s="692"/>
      <c r="O832" s="692"/>
      <c r="P832" s="692"/>
      <c r="Q832" s="173"/>
      <c r="R832" s="173"/>
      <c r="S832" s="173"/>
      <c r="T832" s="173"/>
      <c r="U832" s="173"/>
      <c r="V832" s="173"/>
      <c r="W832" s="173"/>
      <c r="X832" s="173"/>
      <c r="Y832" s="173"/>
      <c r="Z832" s="173"/>
      <c r="AA832" s="173"/>
      <c r="AB832" s="173"/>
      <c r="AC832" s="173"/>
      <c r="AD832" s="173"/>
      <c r="AE832" s="173"/>
      <c r="AF832" s="173"/>
      <c r="AG832" s="173"/>
      <c r="AH832" s="173"/>
      <c r="AI832" s="173"/>
      <c r="AJ832" s="173"/>
      <c r="AK832" s="173"/>
      <c r="AL832" s="173"/>
      <c r="AM832" s="173"/>
      <c r="AN832" s="173"/>
      <c r="AO832" s="173"/>
      <c r="AP832" s="173"/>
    </row>
    <row r="833" spans="6:42">
      <c r="F833" s="692"/>
      <c r="G833" s="692"/>
      <c r="H833" s="692"/>
      <c r="I833" s="692"/>
      <c r="J833" s="692"/>
      <c r="K833" s="692"/>
      <c r="L833" s="692"/>
      <c r="M833" s="692"/>
      <c r="N833" s="692"/>
      <c r="O833" s="692"/>
      <c r="P833" s="692"/>
      <c r="Q833" s="173"/>
      <c r="R833" s="173"/>
      <c r="S833" s="173"/>
      <c r="T833" s="173"/>
      <c r="U833" s="173"/>
      <c r="V833" s="173"/>
      <c r="W833" s="173"/>
      <c r="X833" s="173"/>
      <c r="Y833" s="173"/>
      <c r="Z833" s="173"/>
      <c r="AA833" s="173"/>
      <c r="AB833" s="173"/>
      <c r="AC833" s="173"/>
      <c r="AD833" s="173"/>
      <c r="AE833" s="173"/>
      <c r="AF833" s="173"/>
      <c r="AG833" s="173"/>
      <c r="AH833" s="173"/>
      <c r="AI833" s="173"/>
      <c r="AJ833" s="173"/>
      <c r="AK833" s="173"/>
      <c r="AL833" s="173"/>
      <c r="AM833" s="173"/>
      <c r="AN833" s="173"/>
      <c r="AO833" s="173"/>
      <c r="AP833" s="173"/>
    </row>
    <row r="834" spans="6:42">
      <c r="F834" s="692"/>
      <c r="G834" s="692"/>
      <c r="H834" s="692"/>
      <c r="I834" s="692"/>
      <c r="J834" s="692"/>
      <c r="K834" s="692"/>
      <c r="L834" s="692"/>
      <c r="M834" s="692"/>
      <c r="N834" s="692"/>
      <c r="O834" s="692"/>
      <c r="P834" s="692"/>
      <c r="Q834" s="173"/>
      <c r="R834" s="173"/>
      <c r="S834" s="173"/>
      <c r="T834" s="173"/>
      <c r="U834" s="173"/>
      <c r="V834" s="173"/>
      <c r="W834" s="173"/>
      <c r="X834" s="173"/>
      <c r="Y834" s="173"/>
      <c r="Z834" s="173"/>
      <c r="AA834" s="173"/>
      <c r="AB834" s="173"/>
      <c r="AC834" s="173"/>
      <c r="AD834" s="173"/>
      <c r="AE834" s="173"/>
      <c r="AF834" s="173"/>
      <c r="AG834" s="173"/>
      <c r="AH834" s="173"/>
      <c r="AI834" s="173"/>
      <c r="AJ834" s="173"/>
      <c r="AK834" s="173"/>
      <c r="AL834" s="173"/>
      <c r="AM834" s="173"/>
      <c r="AN834" s="173"/>
      <c r="AO834" s="173"/>
      <c r="AP834" s="173"/>
    </row>
    <row r="835" spans="6:42">
      <c r="F835" s="692"/>
      <c r="G835" s="692"/>
      <c r="H835" s="692"/>
      <c r="I835" s="692"/>
      <c r="J835" s="692"/>
      <c r="K835" s="692"/>
      <c r="L835" s="692"/>
      <c r="M835" s="692"/>
      <c r="N835" s="692"/>
      <c r="O835" s="692"/>
      <c r="P835" s="692"/>
      <c r="Q835" s="173"/>
      <c r="R835" s="173"/>
      <c r="S835" s="173"/>
      <c r="T835" s="173"/>
      <c r="U835" s="173"/>
      <c r="V835" s="173"/>
      <c r="W835" s="173"/>
      <c r="X835" s="173"/>
      <c r="Y835" s="173"/>
      <c r="Z835" s="173"/>
      <c r="AA835" s="173"/>
      <c r="AB835" s="173"/>
      <c r="AC835" s="173"/>
      <c r="AD835" s="173"/>
      <c r="AE835" s="173"/>
      <c r="AF835" s="173"/>
      <c r="AG835" s="173"/>
      <c r="AH835" s="173"/>
      <c r="AI835" s="173"/>
      <c r="AJ835" s="173"/>
      <c r="AK835" s="173"/>
      <c r="AL835" s="173"/>
      <c r="AM835" s="173"/>
      <c r="AN835" s="173"/>
      <c r="AO835" s="173"/>
      <c r="AP835" s="173"/>
    </row>
    <row r="836" spans="6:42">
      <c r="F836" s="692"/>
      <c r="G836" s="692"/>
      <c r="H836" s="692"/>
      <c r="I836" s="692"/>
      <c r="J836" s="692"/>
      <c r="K836" s="692"/>
      <c r="L836" s="692"/>
      <c r="M836" s="692"/>
      <c r="N836" s="692"/>
      <c r="O836" s="692"/>
      <c r="P836" s="692"/>
      <c r="Q836" s="173"/>
      <c r="R836" s="173"/>
      <c r="S836" s="173"/>
      <c r="T836" s="173"/>
      <c r="U836" s="173"/>
      <c r="V836" s="173"/>
      <c r="W836" s="173"/>
      <c r="X836" s="173"/>
      <c r="Y836" s="173"/>
      <c r="Z836" s="173"/>
      <c r="AA836" s="173"/>
      <c r="AB836" s="173"/>
      <c r="AC836" s="173"/>
      <c r="AD836" s="173"/>
      <c r="AE836" s="173"/>
      <c r="AF836" s="173"/>
      <c r="AG836" s="173"/>
      <c r="AH836" s="173"/>
      <c r="AI836" s="173"/>
      <c r="AJ836" s="173"/>
      <c r="AK836" s="173"/>
      <c r="AL836" s="173"/>
      <c r="AM836" s="173"/>
      <c r="AN836" s="173"/>
      <c r="AO836" s="173"/>
      <c r="AP836" s="173"/>
    </row>
    <row r="837" spans="6:42">
      <c r="F837" s="692"/>
      <c r="G837" s="692"/>
      <c r="H837" s="692"/>
      <c r="I837" s="692"/>
      <c r="J837" s="692"/>
      <c r="K837" s="692"/>
      <c r="L837" s="692"/>
      <c r="M837" s="692"/>
      <c r="N837" s="692"/>
      <c r="O837" s="692"/>
      <c r="P837" s="692"/>
      <c r="Q837" s="173"/>
      <c r="R837" s="173"/>
      <c r="S837" s="173"/>
      <c r="T837" s="173"/>
      <c r="U837" s="173"/>
      <c r="V837" s="173"/>
      <c r="W837" s="173"/>
      <c r="X837" s="173"/>
      <c r="Y837" s="173"/>
      <c r="Z837" s="173"/>
      <c r="AA837" s="173"/>
      <c r="AB837" s="173"/>
      <c r="AC837" s="173"/>
      <c r="AD837" s="173"/>
      <c r="AE837" s="173"/>
      <c r="AF837" s="173"/>
      <c r="AG837" s="173"/>
      <c r="AH837" s="173"/>
      <c r="AI837" s="173"/>
      <c r="AJ837" s="173"/>
      <c r="AK837" s="173"/>
      <c r="AL837" s="173"/>
      <c r="AM837" s="173"/>
      <c r="AN837" s="173"/>
      <c r="AO837" s="173"/>
      <c r="AP837" s="173"/>
    </row>
    <row r="838" spans="6:42">
      <c r="F838" s="692"/>
      <c r="G838" s="692"/>
      <c r="H838" s="692"/>
      <c r="I838" s="692"/>
      <c r="J838" s="692"/>
      <c r="K838" s="692"/>
      <c r="L838" s="692"/>
      <c r="M838" s="692"/>
      <c r="N838" s="692"/>
      <c r="O838" s="692"/>
      <c r="P838" s="692"/>
      <c r="Q838" s="173"/>
      <c r="R838" s="173"/>
      <c r="S838" s="173"/>
      <c r="T838" s="173"/>
      <c r="U838" s="173"/>
      <c r="V838" s="173"/>
      <c r="W838" s="173"/>
      <c r="X838" s="173"/>
      <c r="Y838" s="173"/>
      <c r="Z838" s="173"/>
      <c r="AA838" s="173"/>
      <c r="AB838" s="173"/>
      <c r="AC838" s="173"/>
      <c r="AD838" s="173"/>
      <c r="AE838" s="173"/>
      <c r="AF838" s="173"/>
      <c r="AG838" s="173"/>
      <c r="AH838" s="173"/>
      <c r="AI838" s="173"/>
      <c r="AJ838" s="173"/>
      <c r="AK838" s="173"/>
      <c r="AL838" s="173"/>
      <c r="AM838" s="173"/>
      <c r="AN838" s="173"/>
      <c r="AO838" s="173"/>
      <c r="AP838" s="173"/>
    </row>
    <row r="839" spans="6:42">
      <c r="F839" s="692"/>
      <c r="G839" s="692"/>
      <c r="H839" s="692"/>
      <c r="I839" s="692"/>
      <c r="J839" s="692"/>
      <c r="K839" s="692"/>
      <c r="L839" s="692"/>
      <c r="M839" s="692"/>
      <c r="N839" s="692"/>
      <c r="O839" s="692"/>
      <c r="P839" s="692"/>
      <c r="Q839" s="173"/>
      <c r="R839" s="173"/>
      <c r="S839" s="173"/>
      <c r="T839" s="173"/>
      <c r="U839" s="173"/>
      <c r="V839" s="173"/>
      <c r="W839" s="173"/>
      <c r="X839" s="173"/>
      <c r="Y839" s="173"/>
      <c r="Z839" s="173"/>
      <c r="AA839" s="173"/>
      <c r="AB839" s="173"/>
      <c r="AC839" s="173"/>
      <c r="AD839" s="173"/>
      <c r="AE839" s="173"/>
      <c r="AF839" s="173"/>
      <c r="AG839" s="173"/>
      <c r="AH839" s="173"/>
      <c r="AI839" s="173"/>
      <c r="AJ839" s="173"/>
      <c r="AK839" s="173"/>
      <c r="AL839" s="173"/>
      <c r="AM839" s="173"/>
      <c r="AN839" s="173"/>
      <c r="AO839" s="173"/>
      <c r="AP839" s="173"/>
    </row>
    <row r="840" spans="6:42">
      <c r="F840" s="692"/>
      <c r="G840" s="692"/>
      <c r="H840" s="692"/>
      <c r="I840" s="692"/>
      <c r="J840" s="692"/>
      <c r="K840" s="692"/>
      <c r="L840" s="692"/>
      <c r="M840" s="692"/>
      <c r="N840" s="692"/>
      <c r="O840" s="692"/>
      <c r="P840" s="692"/>
      <c r="Q840" s="173"/>
      <c r="R840" s="173"/>
      <c r="S840" s="173"/>
      <c r="T840" s="173"/>
      <c r="U840" s="173"/>
      <c r="V840" s="173"/>
      <c r="W840" s="173"/>
      <c r="X840" s="173"/>
      <c r="Y840" s="173"/>
      <c r="Z840" s="173"/>
      <c r="AA840" s="173"/>
      <c r="AB840" s="173"/>
      <c r="AC840" s="173"/>
      <c r="AD840" s="173"/>
      <c r="AE840" s="173"/>
      <c r="AF840" s="173"/>
      <c r="AG840" s="173"/>
      <c r="AH840" s="173"/>
      <c r="AI840" s="173"/>
      <c r="AJ840" s="173"/>
      <c r="AK840" s="173"/>
      <c r="AL840" s="173"/>
      <c r="AM840" s="173"/>
      <c r="AN840" s="173"/>
      <c r="AO840" s="173"/>
      <c r="AP840" s="173"/>
    </row>
    <row r="841" spans="6:42">
      <c r="F841" s="692"/>
      <c r="G841" s="692"/>
      <c r="H841" s="692"/>
      <c r="I841" s="692"/>
      <c r="J841" s="692"/>
      <c r="K841" s="692"/>
      <c r="L841" s="692"/>
      <c r="M841" s="692"/>
      <c r="N841" s="692"/>
      <c r="O841" s="692"/>
      <c r="P841" s="692"/>
      <c r="Q841" s="173"/>
      <c r="R841" s="173"/>
      <c r="S841" s="173"/>
      <c r="T841" s="173"/>
      <c r="U841" s="173"/>
      <c r="V841" s="173"/>
      <c r="W841" s="173"/>
      <c r="X841" s="173"/>
      <c r="Y841" s="173"/>
      <c r="Z841" s="173"/>
      <c r="AA841" s="173"/>
      <c r="AB841" s="173"/>
      <c r="AC841" s="173"/>
      <c r="AD841" s="173"/>
      <c r="AE841" s="173"/>
      <c r="AF841" s="173"/>
      <c r="AG841" s="173"/>
      <c r="AH841" s="173"/>
      <c r="AI841" s="173"/>
      <c r="AJ841" s="173"/>
      <c r="AK841" s="173"/>
      <c r="AL841" s="173"/>
      <c r="AM841" s="173"/>
      <c r="AN841" s="173"/>
      <c r="AO841" s="173"/>
      <c r="AP841" s="173"/>
    </row>
    <row r="842" spans="6:42">
      <c r="F842" s="692"/>
      <c r="G842" s="692"/>
      <c r="H842" s="692"/>
      <c r="I842" s="692"/>
      <c r="J842" s="692"/>
      <c r="K842" s="692"/>
      <c r="L842" s="692"/>
      <c r="M842" s="692"/>
      <c r="N842" s="692"/>
      <c r="O842" s="692"/>
      <c r="P842" s="692"/>
      <c r="Q842" s="173"/>
      <c r="R842" s="173"/>
      <c r="S842" s="173"/>
      <c r="T842" s="173"/>
      <c r="U842" s="173"/>
      <c r="V842" s="173"/>
      <c r="W842" s="173"/>
      <c r="X842" s="173"/>
      <c r="Y842" s="173"/>
      <c r="Z842" s="173"/>
      <c r="AA842" s="173"/>
      <c r="AB842" s="173"/>
      <c r="AC842" s="173"/>
      <c r="AD842" s="173"/>
      <c r="AE842" s="173"/>
      <c r="AF842" s="173"/>
      <c r="AG842" s="173"/>
      <c r="AH842" s="173"/>
      <c r="AI842" s="173"/>
      <c r="AJ842" s="173"/>
      <c r="AK842" s="173"/>
      <c r="AL842" s="173"/>
      <c r="AM842" s="173"/>
      <c r="AN842" s="173"/>
      <c r="AO842" s="173"/>
      <c r="AP842" s="173"/>
    </row>
    <row r="843" spans="6:42">
      <c r="F843" s="692"/>
      <c r="G843" s="692"/>
      <c r="H843" s="692"/>
      <c r="I843" s="692"/>
      <c r="J843" s="692"/>
      <c r="K843" s="692"/>
      <c r="L843" s="692"/>
      <c r="M843" s="692"/>
      <c r="N843" s="692"/>
      <c r="O843" s="692"/>
      <c r="P843" s="692"/>
      <c r="Q843" s="173"/>
      <c r="R843" s="173"/>
      <c r="S843" s="173"/>
      <c r="T843" s="173"/>
      <c r="U843" s="173"/>
      <c r="V843" s="173"/>
      <c r="W843" s="173"/>
      <c r="X843" s="173"/>
      <c r="Y843" s="173"/>
      <c r="Z843" s="173"/>
      <c r="AA843" s="173"/>
      <c r="AB843" s="173"/>
      <c r="AC843" s="173"/>
      <c r="AD843" s="173"/>
      <c r="AE843" s="173"/>
      <c r="AF843" s="173"/>
      <c r="AG843" s="173"/>
      <c r="AH843" s="173"/>
      <c r="AI843" s="173"/>
      <c r="AJ843" s="173"/>
      <c r="AK843" s="173"/>
      <c r="AL843" s="173"/>
      <c r="AM843" s="173"/>
      <c r="AN843" s="173"/>
      <c r="AO843" s="173"/>
      <c r="AP843" s="173"/>
    </row>
    <row r="844" spans="6:42">
      <c r="F844" s="692"/>
      <c r="G844" s="692"/>
      <c r="H844" s="692"/>
      <c r="I844" s="692"/>
      <c r="J844" s="692"/>
      <c r="K844" s="692"/>
      <c r="L844" s="692"/>
      <c r="M844" s="692"/>
      <c r="N844" s="692"/>
      <c r="O844" s="692"/>
      <c r="P844" s="692"/>
      <c r="Q844" s="173"/>
      <c r="R844" s="173"/>
      <c r="S844" s="173"/>
      <c r="T844" s="173"/>
      <c r="U844" s="173"/>
      <c r="V844" s="173"/>
      <c r="W844" s="173"/>
      <c r="X844" s="173"/>
      <c r="Y844" s="173"/>
      <c r="Z844" s="173"/>
      <c r="AA844" s="173"/>
      <c r="AB844" s="173"/>
      <c r="AC844" s="173"/>
      <c r="AD844" s="173"/>
      <c r="AE844" s="173"/>
      <c r="AF844" s="173"/>
      <c r="AG844" s="173"/>
      <c r="AH844" s="173"/>
      <c r="AI844" s="173"/>
      <c r="AJ844" s="173"/>
      <c r="AK844" s="173"/>
      <c r="AL844" s="173"/>
      <c r="AM844" s="173"/>
      <c r="AN844" s="173"/>
      <c r="AO844" s="173"/>
      <c r="AP844" s="173"/>
    </row>
    <row r="845" spans="6:42">
      <c r="F845" s="692"/>
      <c r="G845" s="692"/>
      <c r="H845" s="692"/>
      <c r="I845" s="692"/>
      <c r="J845" s="692"/>
      <c r="K845" s="692"/>
      <c r="L845" s="692"/>
      <c r="M845" s="692"/>
      <c r="N845" s="692"/>
      <c r="O845" s="692"/>
      <c r="P845" s="692"/>
      <c r="Q845" s="173"/>
      <c r="R845" s="173"/>
      <c r="S845" s="173"/>
      <c r="T845" s="173"/>
      <c r="U845" s="173"/>
      <c r="V845" s="173"/>
      <c r="W845" s="173"/>
      <c r="X845" s="173"/>
      <c r="Y845" s="173"/>
      <c r="Z845" s="173"/>
      <c r="AA845" s="173"/>
      <c r="AB845" s="173"/>
      <c r="AC845" s="173"/>
      <c r="AD845" s="173"/>
      <c r="AE845" s="173"/>
      <c r="AF845" s="173"/>
      <c r="AG845" s="173"/>
      <c r="AH845" s="173"/>
      <c r="AI845" s="173"/>
      <c r="AJ845" s="173"/>
      <c r="AK845" s="173"/>
      <c r="AL845" s="173"/>
      <c r="AM845" s="173"/>
      <c r="AN845" s="173"/>
      <c r="AO845" s="173"/>
      <c r="AP845" s="173"/>
    </row>
    <row r="846" spans="6:42">
      <c r="F846" s="692"/>
      <c r="G846" s="692"/>
      <c r="H846" s="692"/>
      <c r="I846" s="692"/>
      <c r="J846" s="692"/>
      <c r="K846" s="692"/>
      <c r="L846" s="692"/>
      <c r="M846" s="692"/>
      <c r="N846" s="692"/>
      <c r="O846" s="692"/>
      <c r="P846" s="692"/>
      <c r="Q846" s="173"/>
      <c r="R846" s="173"/>
      <c r="S846" s="173"/>
      <c r="T846" s="173"/>
      <c r="U846" s="173"/>
      <c r="V846" s="173"/>
      <c r="W846" s="173"/>
      <c r="X846" s="173"/>
      <c r="Y846" s="173"/>
      <c r="Z846" s="173"/>
      <c r="AA846" s="173"/>
      <c r="AB846" s="173"/>
      <c r="AC846" s="173"/>
      <c r="AD846" s="173"/>
      <c r="AE846" s="173"/>
      <c r="AF846" s="173"/>
      <c r="AG846" s="173"/>
      <c r="AH846" s="173"/>
      <c r="AI846" s="173"/>
      <c r="AJ846" s="173"/>
      <c r="AK846" s="173"/>
      <c r="AL846" s="173"/>
      <c r="AM846" s="173"/>
      <c r="AN846" s="173"/>
      <c r="AO846" s="173"/>
      <c r="AP846" s="173"/>
    </row>
    <row r="847" spans="6:42">
      <c r="F847" s="692"/>
      <c r="G847" s="692"/>
      <c r="H847" s="692"/>
      <c r="I847" s="692"/>
      <c r="J847" s="692"/>
      <c r="K847" s="692"/>
      <c r="L847" s="692"/>
      <c r="M847" s="692"/>
      <c r="N847" s="692"/>
      <c r="O847" s="692"/>
      <c r="P847" s="692"/>
      <c r="Q847" s="173"/>
      <c r="R847" s="173"/>
      <c r="S847" s="173"/>
      <c r="T847" s="173"/>
      <c r="U847" s="173"/>
      <c r="V847" s="173"/>
      <c r="W847" s="173"/>
      <c r="X847" s="173"/>
      <c r="Y847" s="173"/>
      <c r="Z847" s="173"/>
      <c r="AA847" s="173"/>
      <c r="AB847" s="173"/>
      <c r="AC847" s="173"/>
      <c r="AD847" s="173"/>
      <c r="AE847" s="173"/>
      <c r="AF847" s="173"/>
      <c r="AG847" s="173"/>
      <c r="AH847" s="173"/>
      <c r="AI847" s="173"/>
      <c r="AJ847" s="173"/>
      <c r="AK847" s="173"/>
      <c r="AL847" s="173"/>
      <c r="AM847" s="173"/>
      <c r="AN847" s="173"/>
      <c r="AO847" s="173"/>
      <c r="AP847" s="173"/>
    </row>
    <row r="848" spans="6:42">
      <c r="F848" s="692"/>
      <c r="G848" s="692"/>
      <c r="H848" s="692"/>
      <c r="I848" s="692"/>
      <c r="J848" s="692"/>
      <c r="K848" s="692"/>
      <c r="L848" s="692"/>
      <c r="M848" s="692"/>
      <c r="N848" s="692"/>
      <c r="O848" s="692"/>
      <c r="P848" s="692"/>
      <c r="Q848" s="173"/>
      <c r="R848" s="173"/>
      <c r="S848" s="173"/>
      <c r="T848" s="173"/>
      <c r="U848" s="173"/>
      <c r="V848" s="173"/>
      <c r="W848" s="173"/>
      <c r="X848" s="173"/>
      <c r="Y848" s="173"/>
      <c r="Z848" s="173"/>
      <c r="AA848" s="173"/>
      <c r="AB848" s="173"/>
      <c r="AC848" s="173"/>
      <c r="AD848" s="173"/>
      <c r="AE848" s="173"/>
      <c r="AF848" s="173"/>
      <c r="AG848" s="173"/>
      <c r="AH848" s="173"/>
      <c r="AI848" s="173"/>
      <c r="AJ848" s="173"/>
      <c r="AK848" s="173"/>
      <c r="AL848" s="173"/>
      <c r="AM848" s="173"/>
      <c r="AN848" s="173"/>
      <c r="AO848" s="173"/>
      <c r="AP848" s="173"/>
    </row>
    <row r="849" spans="6:42">
      <c r="F849" s="692"/>
      <c r="G849" s="692"/>
      <c r="H849" s="692"/>
      <c r="I849" s="692"/>
      <c r="J849" s="692"/>
      <c r="K849" s="692"/>
      <c r="L849" s="692"/>
      <c r="M849" s="692"/>
      <c r="N849" s="692"/>
      <c r="O849" s="692"/>
      <c r="P849" s="692"/>
      <c r="Q849" s="173"/>
      <c r="R849" s="173"/>
      <c r="S849" s="173"/>
      <c r="T849" s="173"/>
      <c r="U849" s="173"/>
      <c r="V849" s="173"/>
      <c r="W849" s="173"/>
      <c r="X849" s="173"/>
      <c r="Y849" s="173"/>
      <c r="Z849" s="173"/>
      <c r="AA849" s="173"/>
      <c r="AB849" s="173"/>
      <c r="AC849" s="173"/>
      <c r="AD849" s="173"/>
      <c r="AE849" s="173"/>
      <c r="AF849" s="173"/>
      <c r="AG849" s="173"/>
      <c r="AH849" s="173"/>
      <c r="AI849" s="173"/>
      <c r="AJ849" s="173"/>
      <c r="AK849" s="173"/>
      <c r="AL849" s="173"/>
      <c r="AM849" s="173"/>
      <c r="AN849" s="173"/>
      <c r="AO849" s="173"/>
      <c r="AP849" s="173"/>
    </row>
    <row r="850" spans="6:42">
      <c r="F850" s="692"/>
      <c r="G850" s="692"/>
      <c r="H850" s="692"/>
      <c r="I850" s="692"/>
      <c r="J850" s="692"/>
      <c r="K850" s="692"/>
      <c r="L850" s="692"/>
      <c r="M850" s="692"/>
      <c r="N850" s="692"/>
      <c r="O850" s="692"/>
      <c r="P850" s="692"/>
      <c r="Q850" s="173"/>
      <c r="R850" s="173"/>
      <c r="S850" s="173"/>
      <c r="T850" s="173"/>
      <c r="U850" s="173"/>
      <c r="V850" s="173"/>
      <c r="W850" s="173"/>
      <c r="X850" s="173"/>
      <c r="Y850" s="173"/>
      <c r="Z850" s="173"/>
      <c r="AA850" s="173"/>
      <c r="AB850" s="173"/>
      <c r="AC850" s="173"/>
      <c r="AD850" s="173"/>
      <c r="AE850" s="173"/>
      <c r="AF850" s="173"/>
      <c r="AG850" s="173"/>
      <c r="AH850" s="173"/>
      <c r="AI850" s="173"/>
      <c r="AJ850" s="173"/>
      <c r="AK850" s="173"/>
      <c r="AL850" s="173"/>
      <c r="AM850" s="173"/>
      <c r="AN850" s="173"/>
      <c r="AO850" s="173"/>
      <c r="AP850" s="173"/>
    </row>
    <row r="851" spans="6:42">
      <c r="F851" s="692"/>
      <c r="G851" s="692"/>
      <c r="H851" s="692"/>
      <c r="I851" s="692"/>
      <c r="J851" s="692"/>
      <c r="K851" s="692"/>
      <c r="L851" s="692"/>
      <c r="M851" s="692"/>
      <c r="N851" s="692"/>
      <c r="O851" s="692"/>
      <c r="P851" s="692"/>
      <c r="Q851" s="173"/>
      <c r="R851" s="173"/>
      <c r="S851" s="173"/>
      <c r="T851" s="173"/>
      <c r="U851" s="173"/>
      <c r="V851" s="173"/>
      <c r="W851" s="173"/>
      <c r="X851" s="173"/>
      <c r="Y851" s="173"/>
      <c r="Z851" s="173"/>
      <c r="AA851" s="173"/>
      <c r="AB851" s="173"/>
      <c r="AC851" s="173"/>
      <c r="AD851" s="173"/>
      <c r="AE851" s="173"/>
      <c r="AF851" s="173"/>
      <c r="AG851" s="173"/>
      <c r="AH851" s="173"/>
      <c r="AI851" s="173"/>
      <c r="AJ851" s="173"/>
      <c r="AK851" s="173"/>
      <c r="AL851" s="173"/>
      <c r="AM851" s="173"/>
      <c r="AN851" s="173"/>
      <c r="AO851" s="173"/>
      <c r="AP851" s="173"/>
    </row>
    <row r="852" spans="6:42">
      <c r="F852" s="692"/>
      <c r="G852" s="692"/>
      <c r="H852" s="692"/>
      <c r="I852" s="692"/>
      <c r="J852" s="692"/>
      <c r="K852" s="692"/>
      <c r="L852" s="692"/>
      <c r="M852" s="692"/>
      <c r="N852" s="692"/>
      <c r="O852" s="692"/>
      <c r="P852" s="692"/>
      <c r="Q852" s="173"/>
      <c r="R852" s="173"/>
      <c r="S852" s="173"/>
      <c r="T852" s="173"/>
      <c r="U852" s="173"/>
      <c r="V852" s="173"/>
      <c r="W852" s="173"/>
      <c r="X852" s="173"/>
      <c r="Y852" s="173"/>
      <c r="Z852" s="173"/>
      <c r="AA852" s="173"/>
      <c r="AB852" s="173"/>
      <c r="AC852" s="173"/>
      <c r="AD852" s="173"/>
      <c r="AE852" s="173"/>
      <c r="AF852" s="173"/>
      <c r="AG852" s="173"/>
      <c r="AH852" s="173"/>
      <c r="AI852" s="173"/>
      <c r="AJ852" s="173"/>
      <c r="AK852" s="173"/>
      <c r="AL852" s="173"/>
      <c r="AM852" s="173"/>
      <c r="AN852" s="173"/>
      <c r="AO852" s="173"/>
      <c r="AP852" s="173"/>
    </row>
    <row r="853" spans="6:42">
      <c r="F853" s="692"/>
      <c r="G853" s="692"/>
      <c r="H853" s="692"/>
      <c r="I853" s="692"/>
      <c r="J853" s="692"/>
      <c r="K853" s="692"/>
      <c r="L853" s="692"/>
      <c r="M853" s="692"/>
      <c r="N853" s="692"/>
      <c r="O853" s="692"/>
      <c r="P853" s="692"/>
      <c r="Q853" s="173"/>
      <c r="R853" s="173"/>
      <c r="S853" s="173"/>
      <c r="T853" s="173"/>
      <c r="U853" s="173"/>
      <c r="V853" s="173"/>
      <c r="W853" s="173"/>
      <c r="X853" s="173"/>
      <c r="Y853" s="173"/>
      <c r="Z853" s="173"/>
      <c r="AA853" s="173"/>
      <c r="AB853" s="173"/>
      <c r="AC853" s="173"/>
      <c r="AD853" s="173"/>
      <c r="AE853" s="173"/>
      <c r="AF853" s="173"/>
      <c r="AG853" s="173"/>
      <c r="AH853" s="173"/>
      <c r="AI853" s="173"/>
      <c r="AJ853" s="173"/>
      <c r="AK853" s="173"/>
      <c r="AL853" s="173"/>
      <c r="AM853" s="173"/>
      <c r="AN853" s="173"/>
      <c r="AO853" s="173"/>
      <c r="AP853" s="173"/>
    </row>
    <row r="854" spans="6:42">
      <c r="F854" s="692"/>
      <c r="G854" s="692"/>
      <c r="H854" s="692"/>
      <c r="I854" s="692"/>
      <c r="J854" s="692"/>
      <c r="K854" s="692"/>
      <c r="L854" s="692"/>
      <c r="M854" s="692"/>
      <c r="N854" s="692"/>
      <c r="O854" s="692"/>
      <c r="P854" s="692"/>
      <c r="Q854" s="173"/>
      <c r="R854" s="173"/>
      <c r="S854" s="173"/>
      <c r="T854" s="173"/>
      <c r="U854" s="173"/>
      <c r="V854" s="173"/>
      <c r="W854" s="173"/>
      <c r="X854" s="173"/>
      <c r="Y854" s="173"/>
      <c r="Z854" s="173"/>
      <c r="AA854" s="173"/>
      <c r="AB854" s="173"/>
      <c r="AC854" s="173"/>
      <c r="AD854" s="173"/>
      <c r="AE854" s="173"/>
      <c r="AF854" s="173"/>
      <c r="AG854" s="173"/>
      <c r="AH854" s="173"/>
      <c r="AI854" s="173"/>
      <c r="AJ854" s="173"/>
      <c r="AK854" s="173"/>
      <c r="AL854" s="173"/>
      <c r="AM854" s="173"/>
      <c r="AN854" s="173"/>
      <c r="AO854" s="173"/>
      <c r="AP854" s="173"/>
    </row>
    <row r="855" spans="6:42">
      <c r="F855" s="692"/>
      <c r="G855" s="692"/>
      <c r="H855" s="692"/>
      <c r="I855" s="692"/>
      <c r="J855" s="692"/>
      <c r="K855" s="692"/>
      <c r="L855" s="692"/>
      <c r="M855" s="692"/>
      <c r="N855" s="692"/>
      <c r="O855" s="692"/>
      <c r="P855" s="692"/>
      <c r="Q855" s="173"/>
      <c r="R855" s="173"/>
      <c r="S855" s="173"/>
      <c r="T855" s="173"/>
      <c r="U855" s="173"/>
      <c r="V855" s="173"/>
      <c r="W855" s="173"/>
      <c r="X855" s="173"/>
      <c r="Y855" s="173"/>
      <c r="Z855" s="173"/>
      <c r="AA855" s="173"/>
      <c r="AB855" s="173"/>
      <c r="AC855" s="173"/>
      <c r="AD855" s="173"/>
      <c r="AE855" s="173"/>
      <c r="AF855" s="173"/>
      <c r="AG855" s="173"/>
      <c r="AH855" s="173"/>
      <c r="AI855" s="173"/>
      <c r="AJ855" s="173"/>
      <c r="AK855" s="173"/>
      <c r="AL855" s="173"/>
      <c r="AM855" s="173"/>
      <c r="AN855" s="173"/>
      <c r="AO855" s="173"/>
      <c r="AP855" s="173"/>
    </row>
    <row r="856" spans="6:42">
      <c r="F856" s="692"/>
      <c r="G856" s="692"/>
      <c r="H856" s="692"/>
      <c r="I856" s="692"/>
      <c r="J856" s="692"/>
      <c r="K856" s="692"/>
      <c r="L856" s="692"/>
      <c r="M856" s="692"/>
      <c r="N856" s="692"/>
      <c r="O856" s="692"/>
      <c r="P856" s="692"/>
    </row>
    <row r="857" spans="6:42">
      <c r="F857" s="692"/>
      <c r="G857" s="692"/>
      <c r="H857" s="692"/>
      <c r="I857" s="692"/>
      <c r="J857" s="692"/>
      <c r="K857" s="692"/>
      <c r="L857" s="692"/>
      <c r="M857" s="692"/>
      <c r="N857" s="692"/>
      <c r="O857" s="692"/>
      <c r="P857" s="692"/>
    </row>
  </sheetData>
  <mergeCells count="360">
    <mergeCell ref="A1:E2"/>
    <mergeCell ref="F1:J2"/>
    <mergeCell ref="K1:O2"/>
    <mergeCell ref="A3:B3"/>
    <mergeCell ref="F3:G3"/>
    <mergeCell ref="K3:L3"/>
    <mergeCell ref="A4:A6"/>
    <mergeCell ref="F4:F6"/>
    <mergeCell ref="K4:K6"/>
    <mergeCell ref="A7:A9"/>
    <mergeCell ref="F7:F9"/>
    <mergeCell ref="K7:K9"/>
    <mergeCell ref="A10:A12"/>
    <mergeCell ref="F10:F12"/>
    <mergeCell ref="K10:K12"/>
    <mergeCell ref="A13:A15"/>
    <mergeCell ref="F13:F15"/>
    <mergeCell ref="K13:K15"/>
    <mergeCell ref="A16:A18"/>
    <mergeCell ref="F16:F18"/>
    <mergeCell ref="K16:K18"/>
    <mergeCell ref="A19:A21"/>
    <mergeCell ref="F19:F21"/>
    <mergeCell ref="K19:K21"/>
    <mergeCell ref="A22:A24"/>
    <mergeCell ref="F22:F24"/>
    <mergeCell ref="K22:K24"/>
    <mergeCell ref="A25:A27"/>
    <mergeCell ref="F25:F27"/>
    <mergeCell ref="K25:K27"/>
    <mergeCell ref="A28:A30"/>
    <mergeCell ref="F28:F30"/>
    <mergeCell ref="K28:K30"/>
    <mergeCell ref="A31:A33"/>
    <mergeCell ref="F31:F33"/>
    <mergeCell ref="K31:K33"/>
    <mergeCell ref="A34:A36"/>
    <mergeCell ref="F34:F36"/>
    <mergeCell ref="K34:K36"/>
    <mergeCell ref="A37:A39"/>
    <mergeCell ref="F37:F39"/>
    <mergeCell ref="K37:K39"/>
    <mergeCell ref="A40:A42"/>
    <mergeCell ref="F40:F42"/>
    <mergeCell ref="K40:K42"/>
    <mergeCell ref="A43:A45"/>
    <mergeCell ref="F43:F45"/>
    <mergeCell ref="K43:K45"/>
    <mergeCell ref="A46:A48"/>
    <mergeCell ref="F46:F48"/>
    <mergeCell ref="K46:K48"/>
    <mergeCell ref="A49:A51"/>
    <mergeCell ref="F49:F51"/>
    <mergeCell ref="K49:K51"/>
    <mergeCell ref="A52:A54"/>
    <mergeCell ref="F52:F54"/>
    <mergeCell ref="K52:K54"/>
    <mergeCell ref="A55:A57"/>
    <mergeCell ref="F55:F57"/>
    <mergeCell ref="K55:K57"/>
    <mergeCell ref="A58:E59"/>
    <mergeCell ref="F58:J59"/>
    <mergeCell ref="K58:O59"/>
    <mergeCell ref="A60:B60"/>
    <mergeCell ref="F60:G60"/>
    <mergeCell ref="K60:L60"/>
    <mergeCell ref="A61:A63"/>
    <mergeCell ref="F61:F63"/>
    <mergeCell ref="K61:K63"/>
    <mergeCell ref="A64:A66"/>
    <mergeCell ref="F64:F66"/>
    <mergeCell ref="K64:K66"/>
    <mergeCell ref="A67:A69"/>
    <mergeCell ref="F67:F69"/>
    <mergeCell ref="K67:K69"/>
    <mergeCell ref="A70:A72"/>
    <mergeCell ref="F70:F72"/>
    <mergeCell ref="K70:K72"/>
    <mergeCell ref="A73:A75"/>
    <mergeCell ref="F73:F75"/>
    <mergeCell ref="K73:K75"/>
    <mergeCell ref="A76:A78"/>
    <mergeCell ref="F76:F78"/>
    <mergeCell ref="K76:K78"/>
    <mergeCell ref="A79:A81"/>
    <mergeCell ref="F79:F81"/>
    <mergeCell ref="K79:K81"/>
    <mergeCell ref="A82:A84"/>
    <mergeCell ref="F82:F84"/>
    <mergeCell ref="K82:K84"/>
    <mergeCell ref="A85:A87"/>
    <mergeCell ref="F85:F87"/>
    <mergeCell ref="K85:K87"/>
    <mergeCell ref="A88:A90"/>
    <mergeCell ref="F88:F90"/>
    <mergeCell ref="K88:K90"/>
    <mergeCell ref="A91:A93"/>
    <mergeCell ref="F91:F93"/>
    <mergeCell ref="K91:K93"/>
    <mergeCell ref="A94:A96"/>
    <mergeCell ref="F94:F96"/>
    <mergeCell ref="K94:K96"/>
    <mergeCell ref="A97:A99"/>
    <mergeCell ref="F97:F99"/>
    <mergeCell ref="K97:K99"/>
    <mergeCell ref="A100:A102"/>
    <mergeCell ref="F100:F102"/>
    <mergeCell ref="K100:K102"/>
    <mergeCell ref="A103:A105"/>
    <mergeCell ref="F103:F105"/>
    <mergeCell ref="K103:K105"/>
    <mergeCell ref="A106:A108"/>
    <mergeCell ref="F106:F108"/>
    <mergeCell ref="K106:K108"/>
    <mergeCell ref="A109:A111"/>
    <mergeCell ref="F109:F111"/>
    <mergeCell ref="K109:K111"/>
    <mergeCell ref="A112:A114"/>
    <mergeCell ref="F112:F114"/>
    <mergeCell ref="K112:K114"/>
    <mergeCell ref="A115:E116"/>
    <mergeCell ref="F115:J116"/>
    <mergeCell ref="K115:O116"/>
    <mergeCell ref="A117:B117"/>
    <mergeCell ref="F117:G117"/>
    <mergeCell ref="K117:L117"/>
    <mergeCell ref="A118:A120"/>
    <mergeCell ref="F118:F120"/>
    <mergeCell ref="K118:K120"/>
    <mergeCell ref="A121:A123"/>
    <mergeCell ref="F121:F123"/>
    <mergeCell ref="K121:K123"/>
    <mergeCell ref="A124:A126"/>
    <mergeCell ref="F124:F126"/>
    <mergeCell ref="K124:K126"/>
    <mergeCell ref="A127:A129"/>
    <mergeCell ref="F127:F129"/>
    <mergeCell ref="K127:K129"/>
    <mergeCell ref="A130:A132"/>
    <mergeCell ref="F130:F132"/>
    <mergeCell ref="K130:K132"/>
    <mergeCell ref="A133:A135"/>
    <mergeCell ref="F133:F135"/>
    <mergeCell ref="K133:K135"/>
    <mergeCell ref="A136:A138"/>
    <mergeCell ref="F136:F138"/>
    <mergeCell ref="K136:K138"/>
    <mergeCell ref="A139:A141"/>
    <mergeCell ref="F139:F141"/>
    <mergeCell ref="K139:K141"/>
    <mergeCell ref="A142:A144"/>
    <mergeCell ref="F142:F144"/>
    <mergeCell ref="K142:K144"/>
    <mergeCell ref="A145:A147"/>
    <mergeCell ref="F145:F147"/>
    <mergeCell ref="K145:K147"/>
    <mergeCell ref="A148:A150"/>
    <mergeCell ref="F148:F150"/>
    <mergeCell ref="K148:K150"/>
    <mergeCell ref="A151:A153"/>
    <mergeCell ref="F151:F153"/>
    <mergeCell ref="K151:K153"/>
    <mergeCell ref="A154:A156"/>
    <mergeCell ref="F154:F156"/>
    <mergeCell ref="K154:K156"/>
    <mergeCell ref="A157:A159"/>
    <mergeCell ref="F157:F159"/>
    <mergeCell ref="K157:K159"/>
    <mergeCell ref="A160:A162"/>
    <mergeCell ref="F160:F162"/>
    <mergeCell ref="K160:K162"/>
    <mergeCell ref="A163:A165"/>
    <mergeCell ref="F163:F165"/>
    <mergeCell ref="K163:K165"/>
    <mergeCell ref="A166:A168"/>
    <mergeCell ref="F166:F168"/>
    <mergeCell ref="K166:K168"/>
    <mergeCell ref="A169:A171"/>
    <mergeCell ref="F169:F171"/>
    <mergeCell ref="K169:K171"/>
    <mergeCell ref="A172:E173"/>
    <mergeCell ref="F172:J173"/>
    <mergeCell ref="K172:O173"/>
    <mergeCell ref="A174:B174"/>
    <mergeCell ref="F174:G174"/>
    <mergeCell ref="K174:L174"/>
    <mergeCell ref="A175:A177"/>
    <mergeCell ref="F175:F177"/>
    <mergeCell ref="K175:K177"/>
    <mergeCell ref="A178:A180"/>
    <mergeCell ref="F178:F180"/>
    <mergeCell ref="K178:K180"/>
    <mergeCell ref="A181:A183"/>
    <mergeCell ref="F181:F183"/>
    <mergeCell ref="K181:K183"/>
    <mergeCell ref="A184:A186"/>
    <mergeCell ref="F184:F186"/>
    <mergeCell ref="K184:K186"/>
    <mergeCell ref="A187:A189"/>
    <mergeCell ref="F187:F189"/>
    <mergeCell ref="K187:K189"/>
    <mergeCell ref="A190:A192"/>
    <mergeCell ref="F190:F192"/>
    <mergeCell ref="K190:K192"/>
    <mergeCell ref="A193:A195"/>
    <mergeCell ref="F193:F195"/>
    <mergeCell ref="K193:K195"/>
    <mergeCell ref="A196:A198"/>
    <mergeCell ref="F196:F198"/>
    <mergeCell ref="K196:K198"/>
    <mergeCell ref="A199:A201"/>
    <mergeCell ref="F199:F201"/>
    <mergeCell ref="K199:K201"/>
    <mergeCell ref="A202:A204"/>
    <mergeCell ref="F202:F204"/>
    <mergeCell ref="K202:K204"/>
    <mergeCell ref="A205:A207"/>
    <mergeCell ref="F205:F207"/>
    <mergeCell ref="K205:K207"/>
    <mergeCell ref="A208:A210"/>
    <mergeCell ref="F208:F210"/>
    <mergeCell ref="K208:K210"/>
    <mergeCell ref="A211:A213"/>
    <mergeCell ref="F211:F213"/>
    <mergeCell ref="K211:K213"/>
    <mergeCell ref="A214:A216"/>
    <mergeCell ref="F214:F216"/>
    <mergeCell ref="K214:K216"/>
    <mergeCell ref="A217:A219"/>
    <mergeCell ref="F217:F219"/>
    <mergeCell ref="K217:K219"/>
    <mergeCell ref="A220:A222"/>
    <mergeCell ref="F220:F222"/>
    <mergeCell ref="K220:K222"/>
    <mergeCell ref="A223:A225"/>
    <mergeCell ref="F223:F225"/>
    <mergeCell ref="K223:K225"/>
    <mergeCell ref="A226:A228"/>
    <mergeCell ref="F226:F228"/>
    <mergeCell ref="K226:K228"/>
    <mergeCell ref="A229:E230"/>
    <mergeCell ref="F229:J230"/>
    <mergeCell ref="K229:O230"/>
    <mergeCell ref="A231:B231"/>
    <mergeCell ref="F231:G231"/>
    <mergeCell ref="K231:L231"/>
    <mergeCell ref="A232:A234"/>
    <mergeCell ref="F232:F234"/>
    <mergeCell ref="K232:K234"/>
    <mergeCell ref="A235:A237"/>
    <mergeCell ref="F235:F237"/>
    <mergeCell ref="K235:K237"/>
    <mergeCell ref="A238:A240"/>
    <mergeCell ref="F238:F240"/>
    <mergeCell ref="K238:K240"/>
    <mergeCell ref="A241:A243"/>
    <mergeCell ref="F241:F243"/>
    <mergeCell ref="K241:K243"/>
    <mergeCell ref="A244:A246"/>
    <mergeCell ref="F244:F246"/>
    <mergeCell ref="K244:K246"/>
    <mergeCell ref="A247:A249"/>
    <mergeCell ref="F247:F249"/>
    <mergeCell ref="K247:K249"/>
    <mergeCell ref="A250:A252"/>
    <mergeCell ref="F250:F252"/>
    <mergeCell ref="K250:K252"/>
    <mergeCell ref="A253:A255"/>
    <mergeCell ref="F253:F255"/>
    <mergeCell ref="K253:K255"/>
    <mergeCell ref="A256:A258"/>
    <mergeCell ref="F256:F258"/>
    <mergeCell ref="K256:K258"/>
    <mergeCell ref="A259:A261"/>
    <mergeCell ref="F259:F261"/>
    <mergeCell ref="K259:K261"/>
    <mergeCell ref="A262:A264"/>
    <mergeCell ref="F262:F264"/>
    <mergeCell ref="K262:K264"/>
    <mergeCell ref="A265:A267"/>
    <mergeCell ref="F265:F267"/>
    <mergeCell ref="K265:K267"/>
    <mergeCell ref="A268:A270"/>
    <mergeCell ref="F268:F270"/>
    <mergeCell ref="K268:K270"/>
    <mergeCell ref="A271:A273"/>
    <mergeCell ref="F271:F273"/>
    <mergeCell ref="K271:K273"/>
    <mergeCell ref="A274:A276"/>
    <mergeCell ref="F274:F276"/>
    <mergeCell ref="K274:K276"/>
    <mergeCell ref="A277:A279"/>
    <mergeCell ref="F277:F279"/>
    <mergeCell ref="K277:K279"/>
    <mergeCell ref="A280:A282"/>
    <mergeCell ref="F280:F282"/>
    <mergeCell ref="K280:K282"/>
    <mergeCell ref="A283:A285"/>
    <mergeCell ref="F283:F285"/>
    <mergeCell ref="K283:K285"/>
    <mergeCell ref="A286:E287"/>
    <mergeCell ref="F286:J287"/>
    <mergeCell ref="K286:O287"/>
    <mergeCell ref="A288:B288"/>
    <mergeCell ref="F288:G288"/>
    <mergeCell ref="K288:L288"/>
    <mergeCell ref="A289:A291"/>
    <mergeCell ref="F289:F291"/>
    <mergeCell ref="K289:K291"/>
    <mergeCell ref="A292:A294"/>
    <mergeCell ref="F292:F294"/>
    <mergeCell ref="K292:K294"/>
    <mergeCell ref="A295:A297"/>
    <mergeCell ref="F295:F297"/>
    <mergeCell ref="K295:K297"/>
    <mergeCell ref="A298:A300"/>
    <mergeCell ref="F298:F300"/>
    <mergeCell ref="K298:K300"/>
    <mergeCell ref="A301:A303"/>
    <mergeCell ref="F301:F303"/>
    <mergeCell ref="K301:K303"/>
    <mergeCell ref="A304:A306"/>
    <mergeCell ref="F304:F306"/>
    <mergeCell ref="K304:K306"/>
    <mergeCell ref="A307:A309"/>
    <mergeCell ref="F307:F309"/>
    <mergeCell ref="K307:K309"/>
    <mergeCell ref="A310:A312"/>
    <mergeCell ref="F310:F312"/>
    <mergeCell ref="K310:K312"/>
    <mergeCell ref="A313:A315"/>
    <mergeCell ref="F313:F315"/>
    <mergeCell ref="K313:K315"/>
    <mergeCell ref="A316:A318"/>
    <mergeCell ref="F316:F318"/>
    <mergeCell ref="K316:K318"/>
    <mergeCell ref="A319:A321"/>
    <mergeCell ref="F319:F321"/>
    <mergeCell ref="K319:K321"/>
    <mergeCell ref="A322:A324"/>
    <mergeCell ref="F322:F324"/>
    <mergeCell ref="K322:K324"/>
    <mergeCell ref="A325:A327"/>
    <mergeCell ref="F325:F327"/>
    <mergeCell ref="K325:K327"/>
    <mergeCell ref="A328:A330"/>
    <mergeCell ref="F328:F330"/>
    <mergeCell ref="K328:K330"/>
    <mergeCell ref="A331:A333"/>
    <mergeCell ref="F331:F333"/>
    <mergeCell ref="K331:K333"/>
    <mergeCell ref="A334:A336"/>
    <mergeCell ref="F334:F336"/>
    <mergeCell ref="K334:K336"/>
    <mergeCell ref="A337:A339"/>
    <mergeCell ref="F337:F339"/>
    <mergeCell ref="K337:K339"/>
    <mergeCell ref="A340:A342"/>
    <mergeCell ref="F340:F342"/>
    <mergeCell ref="K340:K342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35"/>
  <sheetViews>
    <sheetView showGridLines="0" showRowColHeaders="0" topLeftCell="F11" workbookViewId="0">
      <selection activeCell="J27" sqref="J27"/>
    </sheetView>
  </sheetViews>
  <sheetFormatPr defaultRowHeight="12.75"/>
  <sheetData>
    <row r="1" spans="1:19" ht="15" thickBot="1">
      <c r="A1" s="1039" t="s">
        <v>203</v>
      </c>
      <c r="B1" s="1040"/>
      <c r="C1" s="1041" t="s">
        <v>204</v>
      </c>
      <c r="D1" s="1042"/>
      <c r="E1" s="1043" t="s">
        <v>205</v>
      </c>
      <c r="F1" s="1044"/>
      <c r="G1" s="1045"/>
      <c r="H1" s="1046" t="s">
        <v>206</v>
      </c>
      <c r="I1" s="1047"/>
      <c r="J1" s="1027" t="s">
        <v>207</v>
      </c>
      <c r="K1" s="1028"/>
      <c r="L1" s="1025" t="s">
        <v>208</v>
      </c>
      <c r="M1" s="1026"/>
      <c r="N1" s="1035" t="s">
        <v>451</v>
      </c>
      <c r="O1" s="1036"/>
      <c r="P1" s="1037" t="s">
        <v>263</v>
      </c>
      <c r="Q1" s="1038"/>
      <c r="R1" s="1015" t="s">
        <v>452</v>
      </c>
      <c r="S1" s="1016"/>
    </row>
    <row r="2" spans="1:19" ht="15">
      <c r="A2" s="589" t="s">
        <v>209</v>
      </c>
      <c r="B2" s="590" t="s">
        <v>210</v>
      </c>
      <c r="C2" s="591" t="s">
        <v>209</v>
      </c>
      <c r="D2" s="592" t="s">
        <v>211</v>
      </c>
      <c r="E2" s="591" t="s">
        <v>209</v>
      </c>
      <c r="F2" s="592" t="s">
        <v>212</v>
      </c>
      <c r="G2" s="591" t="s">
        <v>213</v>
      </c>
      <c r="H2" s="592" t="s">
        <v>209</v>
      </c>
      <c r="I2" s="591" t="s">
        <v>210</v>
      </c>
      <c r="J2" s="592" t="s">
        <v>209</v>
      </c>
      <c r="K2" s="591" t="s">
        <v>213</v>
      </c>
      <c r="L2" s="592" t="s">
        <v>209</v>
      </c>
      <c r="M2" s="591" t="s">
        <v>214</v>
      </c>
      <c r="N2" s="592" t="s">
        <v>209</v>
      </c>
      <c r="O2" s="593" t="s">
        <v>211</v>
      </c>
      <c r="P2" s="594" t="s">
        <v>209</v>
      </c>
      <c r="Q2" s="595" t="s">
        <v>210</v>
      </c>
      <c r="R2" s="594" t="s">
        <v>209</v>
      </c>
      <c r="S2" s="595" t="s">
        <v>210</v>
      </c>
    </row>
    <row r="3" spans="1:19" ht="15">
      <c r="A3" s="596">
        <v>224.42</v>
      </c>
      <c r="B3" s="597">
        <v>282.85000000000002</v>
      </c>
      <c r="C3" s="596">
        <v>211.21</v>
      </c>
      <c r="D3" s="597">
        <v>235.27</v>
      </c>
      <c r="E3" s="596">
        <v>231.68</v>
      </c>
      <c r="F3" s="598">
        <v>263.86</v>
      </c>
      <c r="G3" s="596">
        <v>230.01</v>
      </c>
      <c r="H3" s="599">
        <v>228.26</v>
      </c>
      <c r="I3" s="600" t="s">
        <v>453</v>
      </c>
      <c r="J3" s="597">
        <v>207.45</v>
      </c>
      <c r="K3" s="596">
        <v>199.51</v>
      </c>
      <c r="L3" s="598">
        <v>303.07</v>
      </c>
      <c r="M3" s="601">
        <v>239.51</v>
      </c>
      <c r="N3" s="602" t="s">
        <v>454</v>
      </c>
      <c r="O3" s="603">
        <v>190.72</v>
      </c>
      <c r="P3" s="604">
        <v>226.57</v>
      </c>
      <c r="Q3" s="605">
        <v>263.86</v>
      </c>
      <c r="R3" s="604">
        <v>244.76</v>
      </c>
      <c r="S3" s="605">
        <v>227.76</v>
      </c>
    </row>
    <row r="4" spans="1:19" ht="15">
      <c r="A4" s="596">
        <v>227.72</v>
      </c>
      <c r="B4" s="597">
        <v>289.14999999999998</v>
      </c>
      <c r="C4" s="596">
        <v>223.29</v>
      </c>
      <c r="D4" s="597">
        <v>240.98</v>
      </c>
      <c r="E4" s="596">
        <v>236.08</v>
      </c>
      <c r="F4" s="598">
        <v>268.14999999999998</v>
      </c>
      <c r="G4" s="596">
        <v>237.75</v>
      </c>
      <c r="H4" s="599">
        <v>231.38</v>
      </c>
      <c r="I4" s="600" t="s">
        <v>455</v>
      </c>
      <c r="J4" s="597">
        <v>211.23</v>
      </c>
      <c r="K4" s="596">
        <v>195.55</v>
      </c>
      <c r="L4" s="598">
        <v>311.76</v>
      </c>
      <c r="M4" s="601">
        <v>240.73</v>
      </c>
      <c r="N4" s="597" t="s">
        <v>456</v>
      </c>
      <c r="O4" s="603">
        <v>197.7</v>
      </c>
      <c r="P4" s="604">
        <v>235.75</v>
      </c>
      <c r="Q4" s="606">
        <v>279.51</v>
      </c>
      <c r="R4" s="604">
        <v>247.85</v>
      </c>
      <c r="S4" s="606">
        <v>237.35</v>
      </c>
    </row>
    <row r="5" spans="1:19" ht="15.75" thickBot="1">
      <c r="A5" s="607">
        <v>230.83</v>
      </c>
      <c r="B5" s="608">
        <v>291.39999999999998</v>
      </c>
      <c r="C5" s="607">
        <v>231.3</v>
      </c>
      <c r="D5" s="608">
        <v>244.06</v>
      </c>
      <c r="E5" s="607">
        <v>239.41</v>
      </c>
      <c r="F5" s="609">
        <v>269.7</v>
      </c>
      <c r="G5" s="607">
        <v>241.2</v>
      </c>
      <c r="H5" s="610">
        <v>241.9</v>
      </c>
      <c r="I5" s="611">
        <v>236.11</v>
      </c>
      <c r="J5" s="608">
        <v>220.86</v>
      </c>
      <c r="K5" s="607">
        <v>205.69</v>
      </c>
      <c r="L5" s="612">
        <v>319.69</v>
      </c>
      <c r="M5" s="613">
        <v>251.37</v>
      </c>
      <c r="N5" s="608">
        <v>180.53</v>
      </c>
      <c r="O5" s="614">
        <v>201.25</v>
      </c>
      <c r="P5" s="615">
        <v>244.31</v>
      </c>
      <c r="Q5" s="616">
        <v>286.66000000000003</v>
      </c>
      <c r="R5" s="615" t="s">
        <v>457</v>
      </c>
      <c r="S5" s="616">
        <v>240.8</v>
      </c>
    </row>
    <row r="6" spans="1:19" ht="15">
      <c r="A6" s="617" t="s">
        <v>215</v>
      </c>
      <c r="B6" s="593" t="s">
        <v>216</v>
      </c>
      <c r="C6" s="617" t="s">
        <v>217</v>
      </c>
      <c r="D6" s="591" t="s">
        <v>218</v>
      </c>
      <c r="E6" s="590" t="s">
        <v>219</v>
      </c>
      <c r="F6" s="591" t="s">
        <v>210</v>
      </c>
      <c r="G6" s="590" t="s">
        <v>216</v>
      </c>
      <c r="H6" s="591" t="s">
        <v>215</v>
      </c>
      <c r="I6" s="590" t="s">
        <v>211</v>
      </c>
      <c r="J6" s="591" t="s">
        <v>215</v>
      </c>
      <c r="K6" s="590" t="s">
        <v>218</v>
      </c>
      <c r="L6" s="591" t="s">
        <v>220</v>
      </c>
      <c r="M6" s="590" t="s">
        <v>218</v>
      </c>
      <c r="N6" s="591" t="s">
        <v>212</v>
      </c>
      <c r="O6" s="590" t="s">
        <v>218</v>
      </c>
      <c r="P6" s="618" t="s">
        <v>215</v>
      </c>
      <c r="Q6" s="619" t="s">
        <v>218</v>
      </c>
      <c r="R6" s="618" t="s">
        <v>215</v>
      </c>
      <c r="S6" s="619" t="s">
        <v>218</v>
      </c>
    </row>
    <row r="7" spans="1:19" ht="15">
      <c r="A7" s="603">
        <v>214.57</v>
      </c>
      <c r="B7" s="603">
        <v>260.75</v>
      </c>
      <c r="C7" s="620">
        <v>323.55</v>
      </c>
      <c r="D7" s="596">
        <v>227.81</v>
      </c>
      <c r="E7" s="621">
        <v>275</v>
      </c>
      <c r="F7" s="596">
        <v>232.05</v>
      </c>
      <c r="G7" s="597">
        <v>233.15</v>
      </c>
      <c r="H7" s="600">
        <v>206.75</v>
      </c>
      <c r="I7" s="622">
        <v>268.3</v>
      </c>
      <c r="J7" s="596">
        <v>212.45</v>
      </c>
      <c r="K7" s="597">
        <v>209.05</v>
      </c>
      <c r="L7" s="601">
        <v>244.47</v>
      </c>
      <c r="M7" s="598">
        <v>252.77</v>
      </c>
      <c r="N7" s="596">
        <v>230.6</v>
      </c>
      <c r="O7" s="597">
        <v>164.63</v>
      </c>
      <c r="P7" s="606" t="s">
        <v>458</v>
      </c>
      <c r="Q7" s="623">
        <v>175.66</v>
      </c>
      <c r="R7" s="606">
        <v>229.76</v>
      </c>
      <c r="S7" s="623">
        <v>185.05</v>
      </c>
    </row>
    <row r="8" spans="1:19" ht="15">
      <c r="A8" s="603">
        <v>215.62</v>
      </c>
      <c r="B8" s="603">
        <v>270.14999999999998</v>
      </c>
      <c r="C8" s="624">
        <v>326.75</v>
      </c>
      <c r="D8" s="596" t="s">
        <v>459</v>
      </c>
      <c r="E8" s="598">
        <v>282.42</v>
      </c>
      <c r="F8" s="596">
        <v>233.85</v>
      </c>
      <c r="G8" s="597">
        <v>236.89</v>
      </c>
      <c r="H8" s="600">
        <v>209.96</v>
      </c>
      <c r="I8" s="599">
        <v>268.95</v>
      </c>
      <c r="J8" s="596">
        <v>215.47</v>
      </c>
      <c r="K8" s="597">
        <v>218.85</v>
      </c>
      <c r="L8" s="601">
        <v>256.13</v>
      </c>
      <c r="M8" s="598">
        <v>264.37</v>
      </c>
      <c r="N8" s="596" t="s">
        <v>460</v>
      </c>
      <c r="O8" s="597">
        <v>168.95</v>
      </c>
      <c r="P8" s="606" t="s">
        <v>461</v>
      </c>
      <c r="Q8" s="623">
        <v>185.34</v>
      </c>
      <c r="R8" s="606">
        <v>238.2</v>
      </c>
      <c r="S8" s="623">
        <v>211.55</v>
      </c>
    </row>
    <row r="9" spans="1:19" ht="15.75" thickBot="1">
      <c r="A9" s="614">
        <v>226.18</v>
      </c>
      <c r="B9" s="614">
        <v>278.55</v>
      </c>
      <c r="C9" s="625">
        <v>330.05</v>
      </c>
      <c r="D9" s="607" t="s">
        <v>462</v>
      </c>
      <c r="E9" s="612">
        <v>284.11</v>
      </c>
      <c r="F9" s="626" t="s">
        <v>457</v>
      </c>
      <c r="G9" s="608">
        <v>238.65</v>
      </c>
      <c r="H9" s="611">
        <v>221.41</v>
      </c>
      <c r="I9" s="627">
        <v>279.52999999999997</v>
      </c>
      <c r="J9" s="607">
        <v>242.43</v>
      </c>
      <c r="K9" s="628">
        <v>234.53</v>
      </c>
      <c r="L9" s="613">
        <v>257.88</v>
      </c>
      <c r="M9" s="629">
        <v>269.97000000000003</v>
      </c>
      <c r="N9" s="607" t="s">
        <v>463</v>
      </c>
      <c r="O9" s="628">
        <v>178.25</v>
      </c>
      <c r="P9" s="630">
        <v>255.7</v>
      </c>
      <c r="Q9" s="631">
        <v>190.34</v>
      </c>
      <c r="R9" s="630" t="s">
        <v>457</v>
      </c>
      <c r="S9" s="631" t="s">
        <v>457</v>
      </c>
    </row>
    <row r="10" spans="1:19" ht="15">
      <c r="A10" s="632"/>
      <c r="B10" s="617" t="s">
        <v>218</v>
      </c>
      <c r="C10" s="591" t="s">
        <v>215</v>
      </c>
      <c r="D10" s="632"/>
      <c r="E10" s="593" t="s">
        <v>215</v>
      </c>
      <c r="F10" s="593" t="s">
        <v>221</v>
      </c>
      <c r="G10" s="591" t="s">
        <v>218</v>
      </c>
      <c r="H10" s="633"/>
      <c r="I10" s="591" t="s">
        <v>218</v>
      </c>
      <c r="J10" s="634"/>
      <c r="K10" s="634"/>
      <c r="L10" s="634"/>
      <c r="M10" s="635"/>
      <c r="N10" s="634"/>
      <c r="O10" s="634"/>
      <c r="P10" s="636"/>
      <c r="Q10" s="191"/>
      <c r="R10" s="191"/>
    </row>
    <row r="11" spans="1:19" ht="15">
      <c r="A11" s="637"/>
      <c r="B11" s="603">
        <v>219.5</v>
      </c>
      <c r="C11" s="596">
        <v>230.46</v>
      </c>
      <c r="D11" s="637"/>
      <c r="E11" s="603">
        <v>233.47</v>
      </c>
      <c r="F11" s="638">
        <v>303.43</v>
      </c>
      <c r="G11" s="596">
        <v>249.46</v>
      </c>
      <c r="H11" s="637"/>
      <c r="I11" s="600">
        <v>265.25</v>
      </c>
      <c r="J11" s="639"/>
      <c r="K11" s="639"/>
      <c r="L11" s="639"/>
      <c r="M11" s="640"/>
      <c r="N11" s="639"/>
      <c r="O11" s="639"/>
      <c r="P11" s="641"/>
      <c r="Q11" s="191"/>
      <c r="R11" s="191"/>
    </row>
    <row r="12" spans="1:19" ht="15">
      <c r="A12" s="637"/>
      <c r="B12" s="603">
        <v>231.41</v>
      </c>
      <c r="C12" s="596">
        <v>238.15</v>
      </c>
      <c r="D12" s="637"/>
      <c r="E12" s="603">
        <v>238.91</v>
      </c>
      <c r="F12" s="638">
        <v>310.14</v>
      </c>
      <c r="G12" s="596">
        <v>352.17</v>
      </c>
      <c r="H12" s="637"/>
      <c r="I12" s="600">
        <v>268.27999999999997</v>
      </c>
      <c r="J12" s="639"/>
      <c r="K12" s="639"/>
      <c r="L12" s="639"/>
      <c r="M12" s="640"/>
      <c r="N12" s="639"/>
      <c r="O12" s="639"/>
      <c r="P12" s="641"/>
      <c r="Q12" s="191"/>
      <c r="R12" s="191"/>
    </row>
    <row r="13" spans="1:19" ht="15.75" thickBot="1">
      <c r="A13" s="637"/>
      <c r="B13" s="614">
        <v>236.44</v>
      </c>
      <c r="C13" s="607">
        <v>240.1</v>
      </c>
      <c r="D13" s="637"/>
      <c r="E13" s="614">
        <v>239.62</v>
      </c>
      <c r="F13" s="614" t="s">
        <v>457</v>
      </c>
      <c r="G13" s="607">
        <v>353.94</v>
      </c>
      <c r="H13" s="637"/>
      <c r="I13" s="611">
        <v>285.13</v>
      </c>
      <c r="J13" s="639"/>
      <c r="K13" s="639"/>
      <c r="L13" s="639"/>
      <c r="M13" s="640"/>
      <c r="N13" s="639"/>
      <c r="O13" s="639"/>
      <c r="P13" s="641"/>
      <c r="Q13" s="191"/>
      <c r="R13" s="191"/>
    </row>
    <row r="14" spans="1:19" ht="15">
      <c r="A14" s="642"/>
      <c r="B14" s="642"/>
      <c r="C14" s="642"/>
      <c r="D14" s="642"/>
      <c r="E14" s="641"/>
      <c r="F14" s="641"/>
      <c r="G14" s="591" t="s">
        <v>222</v>
      </c>
      <c r="H14" s="642"/>
      <c r="I14" s="641"/>
      <c r="J14" s="641"/>
      <c r="K14" s="641"/>
      <c r="L14" s="641"/>
      <c r="M14" s="641"/>
      <c r="N14" s="641"/>
      <c r="O14" s="641"/>
      <c r="P14" s="641"/>
      <c r="Q14" s="191"/>
      <c r="R14" s="191"/>
    </row>
    <row r="15" spans="1:19" ht="15">
      <c r="G15" s="596">
        <v>317.83</v>
      </c>
    </row>
    <row r="16" spans="1:19" ht="15">
      <c r="G16" s="596">
        <v>326.45</v>
      </c>
    </row>
    <row r="17" spans="1:18" ht="15.75" thickBot="1">
      <c r="G17" s="626" t="s">
        <v>457</v>
      </c>
    </row>
    <row r="18" spans="1:18" ht="13.5" thickBot="1"/>
    <row r="19" spans="1:18" ht="15" thickBot="1">
      <c r="A19" s="1017" t="s">
        <v>223</v>
      </c>
      <c r="B19" s="1018"/>
      <c r="C19" s="1019" t="s">
        <v>224</v>
      </c>
      <c r="D19" s="1020"/>
      <c r="E19" s="1021" t="s">
        <v>225</v>
      </c>
      <c r="F19" s="1022"/>
      <c r="G19" s="1023" t="s">
        <v>226</v>
      </c>
      <c r="H19" s="1024"/>
      <c r="I19" s="1025" t="s">
        <v>227</v>
      </c>
      <c r="J19" s="1026"/>
      <c r="K19" s="1027" t="s">
        <v>228</v>
      </c>
      <c r="L19" s="1028"/>
      <c r="M19" s="1029" t="s">
        <v>229</v>
      </c>
      <c r="N19" s="1030"/>
      <c r="O19" s="1031" t="s">
        <v>230</v>
      </c>
      <c r="P19" s="1032"/>
      <c r="Q19" s="1033" t="s">
        <v>464</v>
      </c>
      <c r="R19" s="1034"/>
    </row>
    <row r="20" spans="1:18" ht="15">
      <c r="A20" s="643" t="s">
        <v>209</v>
      </c>
      <c r="B20" s="644" t="s">
        <v>210</v>
      </c>
      <c r="C20" s="591" t="s">
        <v>209</v>
      </c>
      <c r="D20" s="592" t="s">
        <v>214</v>
      </c>
      <c r="E20" s="591" t="s">
        <v>231</v>
      </c>
      <c r="F20" s="592" t="s">
        <v>214</v>
      </c>
      <c r="G20" s="591" t="s">
        <v>209</v>
      </c>
      <c r="H20" s="591" t="s">
        <v>212</v>
      </c>
      <c r="I20" s="591" t="s">
        <v>209</v>
      </c>
      <c r="J20" s="592" t="s">
        <v>214</v>
      </c>
      <c r="K20" s="591" t="s">
        <v>209</v>
      </c>
      <c r="L20" s="591" t="s">
        <v>214</v>
      </c>
      <c r="M20" s="592" t="s">
        <v>209</v>
      </c>
      <c r="N20" s="591" t="s">
        <v>211</v>
      </c>
      <c r="O20" s="592" t="s">
        <v>231</v>
      </c>
      <c r="P20" s="591" t="s">
        <v>210</v>
      </c>
      <c r="Q20" s="592" t="s">
        <v>209</v>
      </c>
      <c r="R20" s="591" t="s">
        <v>211</v>
      </c>
    </row>
    <row r="21" spans="1:18" ht="15">
      <c r="A21" s="645">
        <v>213.29</v>
      </c>
      <c r="B21" s="646">
        <v>292.14999999999998</v>
      </c>
      <c r="C21" s="645">
        <v>181.15</v>
      </c>
      <c r="D21" s="646">
        <v>168.65</v>
      </c>
      <c r="E21" s="647">
        <v>220.95</v>
      </c>
      <c r="F21" s="648">
        <v>213.15</v>
      </c>
      <c r="G21" s="600">
        <v>230.51</v>
      </c>
      <c r="H21" s="600">
        <v>273.7</v>
      </c>
      <c r="I21" s="645">
        <v>291.55</v>
      </c>
      <c r="J21" s="646">
        <v>223.9</v>
      </c>
      <c r="K21" s="649">
        <v>229.55</v>
      </c>
      <c r="L21" s="650">
        <v>287</v>
      </c>
      <c r="M21" s="651">
        <v>260.8</v>
      </c>
      <c r="N21" s="652">
        <v>273</v>
      </c>
      <c r="O21" s="651">
        <v>198.15</v>
      </c>
      <c r="P21" s="652">
        <v>223.98</v>
      </c>
      <c r="Q21" s="651">
        <v>260.8</v>
      </c>
      <c r="R21" s="652">
        <v>273</v>
      </c>
    </row>
    <row r="22" spans="1:18" ht="15">
      <c r="A22" s="645">
        <v>227.85</v>
      </c>
      <c r="B22" s="646">
        <v>307.14999999999998</v>
      </c>
      <c r="C22" s="652">
        <v>197.8</v>
      </c>
      <c r="D22" s="651">
        <v>182.1</v>
      </c>
      <c r="E22" s="647">
        <v>238.45</v>
      </c>
      <c r="F22" s="648">
        <v>220.45</v>
      </c>
      <c r="G22" s="600">
        <v>239.33</v>
      </c>
      <c r="H22" s="600">
        <v>283.64</v>
      </c>
      <c r="I22" s="645" t="s">
        <v>465</v>
      </c>
      <c r="J22" s="646">
        <v>227.4</v>
      </c>
      <c r="K22" s="649">
        <v>234.19</v>
      </c>
      <c r="L22" s="650">
        <v>293.25</v>
      </c>
      <c r="M22" s="651">
        <v>263.25</v>
      </c>
      <c r="N22" s="652">
        <v>279.60000000000002</v>
      </c>
      <c r="O22" s="651">
        <v>203.55</v>
      </c>
      <c r="P22" s="652">
        <v>225.1</v>
      </c>
      <c r="Q22" s="651">
        <v>263.25</v>
      </c>
      <c r="R22" s="652">
        <v>279.60000000000002</v>
      </c>
    </row>
    <row r="23" spans="1:18" ht="15.75" thickBot="1">
      <c r="A23" s="653">
        <v>235.75</v>
      </c>
      <c r="B23" s="654">
        <v>310.39999999999998</v>
      </c>
      <c r="C23" s="653">
        <v>201.74</v>
      </c>
      <c r="D23" s="654">
        <v>191.4</v>
      </c>
      <c r="E23" s="655">
        <v>243.35</v>
      </c>
      <c r="F23" s="656">
        <v>225.35</v>
      </c>
      <c r="G23" s="657">
        <v>247.54</v>
      </c>
      <c r="H23" s="657">
        <v>284.37</v>
      </c>
      <c r="I23" s="653" t="s">
        <v>466</v>
      </c>
      <c r="J23" s="658">
        <v>235.75</v>
      </c>
      <c r="K23" s="659">
        <v>256.35000000000002</v>
      </c>
      <c r="L23" s="660">
        <v>300</v>
      </c>
      <c r="M23" s="654">
        <v>272.75</v>
      </c>
      <c r="N23" s="661">
        <v>288.8</v>
      </c>
      <c r="O23" s="654" t="s">
        <v>457</v>
      </c>
      <c r="P23" s="661">
        <v>233</v>
      </c>
      <c r="Q23" s="654">
        <v>272.75</v>
      </c>
      <c r="R23" s="661">
        <v>288.8</v>
      </c>
    </row>
    <row r="24" spans="1:18" ht="15">
      <c r="A24" s="662" t="s">
        <v>215</v>
      </c>
      <c r="B24" s="643" t="s">
        <v>216</v>
      </c>
      <c r="C24" s="590" t="s">
        <v>220</v>
      </c>
      <c r="D24" s="591" t="s">
        <v>218</v>
      </c>
      <c r="E24" s="590" t="s">
        <v>217</v>
      </c>
      <c r="F24" s="593" t="s">
        <v>218</v>
      </c>
      <c r="G24" s="591" t="s">
        <v>231</v>
      </c>
      <c r="H24" s="591" t="s">
        <v>210</v>
      </c>
      <c r="I24" s="590" t="s">
        <v>220</v>
      </c>
      <c r="J24" s="593" t="s">
        <v>218</v>
      </c>
      <c r="K24" s="591" t="s">
        <v>232</v>
      </c>
      <c r="L24" s="590" t="s">
        <v>213</v>
      </c>
      <c r="M24" s="591" t="s">
        <v>215</v>
      </c>
      <c r="N24" s="663" t="s">
        <v>218</v>
      </c>
      <c r="O24" s="663" t="s">
        <v>232</v>
      </c>
      <c r="P24" s="591" t="s">
        <v>216</v>
      </c>
      <c r="Q24" s="591" t="s">
        <v>215</v>
      </c>
      <c r="R24" s="663" t="s">
        <v>218</v>
      </c>
    </row>
    <row r="25" spans="1:18" ht="15">
      <c r="A25" s="664">
        <v>234.51</v>
      </c>
      <c r="B25" s="645">
        <v>271.83999999999997</v>
      </c>
      <c r="C25" s="651">
        <v>236.4</v>
      </c>
      <c r="D25" s="645">
        <v>180.03</v>
      </c>
      <c r="E25" s="665">
        <v>222.45</v>
      </c>
      <c r="F25" s="666">
        <v>211.5</v>
      </c>
      <c r="G25" s="667">
        <v>270.77</v>
      </c>
      <c r="H25" s="667">
        <v>226.43</v>
      </c>
      <c r="I25" s="651">
        <v>231.2</v>
      </c>
      <c r="J25" s="668">
        <v>248.45</v>
      </c>
      <c r="K25" s="650">
        <v>302.33</v>
      </c>
      <c r="L25" s="669">
        <v>205.8</v>
      </c>
      <c r="M25" s="652">
        <v>237.2</v>
      </c>
      <c r="N25" s="670">
        <v>259.7</v>
      </c>
      <c r="O25" s="670">
        <v>257.7</v>
      </c>
      <c r="P25" s="652">
        <v>241</v>
      </c>
      <c r="Q25" s="652">
        <v>237.2</v>
      </c>
      <c r="R25" s="670">
        <v>259.7</v>
      </c>
    </row>
    <row r="26" spans="1:18" ht="15">
      <c r="A26" s="668">
        <v>238.6</v>
      </c>
      <c r="B26" s="652">
        <v>283.2</v>
      </c>
      <c r="C26" s="646">
        <v>249.55</v>
      </c>
      <c r="D26" s="645">
        <v>184.05</v>
      </c>
      <c r="E26" s="665">
        <v>236.7</v>
      </c>
      <c r="F26" s="666">
        <v>221.09</v>
      </c>
      <c r="G26" s="667">
        <v>279.27</v>
      </c>
      <c r="H26" s="667">
        <v>229.74</v>
      </c>
      <c r="I26" s="651">
        <v>239.9</v>
      </c>
      <c r="J26" s="668">
        <v>255.2</v>
      </c>
      <c r="K26" s="650">
        <v>306.58999999999997</v>
      </c>
      <c r="L26" s="669">
        <v>216.75</v>
      </c>
      <c r="M26" s="652">
        <v>237.95</v>
      </c>
      <c r="N26" s="670">
        <v>270.8</v>
      </c>
      <c r="O26" s="670">
        <v>267</v>
      </c>
      <c r="P26" s="652">
        <v>248.9</v>
      </c>
      <c r="Q26" s="652">
        <v>237.95</v>
      </c>
      <c r="R26" s="670">
        <v>270.8</v>
      </c>
    </row>
    <row r="27" spans="1:18" ht="15.75" thickBot="1">
      <c r="A27" s="671">
        <v>242.6</v>
      </c>
      <c r="B27" s="653">
        <v>286.45</v>
      </c>
      <c r="C27" s="672">
        <v>259.10000000000002</v>
      </c>
      <c r="D27" s="653">
        <v>188.59</v>
      </c>
      <c r="E27" s="673">
        <v>244.45</v>
      </c>
      <c r="F27" s="674">
        <v>229</v>
      </c>
      <c r="G27" s="675">
        <v>283.93</v>
      </c>
      <c r="H27" s="675">
        <v>233.28</v>
      </c>
      <c r="I27" s="672">
        <v>244.7</v>
      </c>
      <c r="J27" s="671">
        <v>261.75</v>
      </c>
      <c r="K27" s="660">
        <v>314.39</v>
      </c>
      <c r="L27" s="676">
        <v>225.3</v>
      </c>
      <c r="M27" s="661">
        <v>241.05</v>
      </c>
      <c r="N27" s="677">
        <v>275.45</v>
      </c>
      <c r="O27" s="677">
        <v>268.67</v>
      </c>
      <c r="P27" s="677">
        <v>250.9</v>
      </c>
      <c r="Q27" s="661">
        <v>241.05</v>
      </c>
      <c r="R27" s="677">
        <v>275.45</v>
      </c>
    </row>
    <row r="28" spans="1:18" ht="15">
      <c r="A28" s="632"/>
      <c r="B28" s="678" t="s">
        <v>218</v>
      </c>
      <c r="C28" s="632"/>
      <c r="D28" s="679"/>
      <c r="E28" s="593" t="s">
        <v>212</v>
      </c>
      <c r="F28" s="593" t="s">
        <v>222</v>
      </c>
      <c r="G28" s="593" t="s">
        <v>215</v>
      </c>
      <c r="H28" s="591" t="s">
        <v>218</v>
      </c>
      <c r="I28" s="632"/>
      <c r="J28" s="680"/>
      <c r="K28" s="591" t="s">
        <v>210</v>
      </c>
      <c r="L28" s="663" t="s">
        <v>222</v>
      </c>
      <c r="M28" s="632"/>
      <c r="N28" s="680"/>
      <c r="O28" s="632"/>
      <c r="P28" s="632"/>
      <c r="Q28" s="191"/>
      <c r="R28" s="191"/>
    </row>
    <row r="29" spans="1:18" ht="15">
      <c r="A29" s="637"/>
      <c r="B29" s="645">
        <v>227.29</v>
      </c>
      <c r="C29" s="637"/>
      <c r="D29" s="681"/>
      <c r="E29" s="666">
        <v>216.3</v>
      </c>
      <c r="F29" s="666">
        <v>257.95</v>
      </c>
      <c r="G29" s="682">
        <v>228.11</v>
      </c>
      <c r="H29" s="667">
        <v>241.32</v>
      </c>
      <c r="I29" s="637"/>
      <c r="J29" s="683"/>
      <c r="K29" s="650">
        <v>229.95</v>
      </c>
      <c r="L29" s="684">
        <v>256.85000000000002</v>
      </c>
      <c r="M29" s="637"/>
      <c r="N29" s="685"/>
      <c r="O29" s="637"/>
      <c r="P29" s="637"/>
      <c r="Q29" s="191"/>
      <c r="R29" s="191"/>
    </row>
    <row r="30" spans="1:18" ht="15">
      <c r="A30" s="637"/>
      <c r="B30" s="645">
        <v>236.15</v>
      </c>
      <c r="C30" s="637"/>
      <c r="D30" s="681"/>
      <c r="E30" s="666">
        <v>224.7</v>
      </c>
      <c r="F30" s="666">
        <v>260.75</v>
      </c>
      <c r="G30" s="682">
        <v>230.75</v>
      </c>
      <c r="H30" s="667">
        <v>242.06</v>
      </c>
      <c r="I30" s="637"/>
      <c r="J30" s="683"/>
      <c r="K30" s="650">
        <v>239.4</v>
      </c>
      <c r="L30" s="684">
        <v>259.89999999999998</v>
      </c>
      <c r="M30" s="637"/>
      <c r="N30" s="685"/>
      <c r="O30" s="637"/>
      <c r="P30" s="637"/>
      <c r="Q30" s="191"/>
      <c r="R30" s="191"/>
    </row>
    <row r="31" spans="1:18" ht="15.75" thickBot="1">
      <c r="A31" s="637"/>
      <c r="B31" s="653">
        <v>245.65</v>
      </c>
      <c r="C31" s="637"/>
      <c r="D31" s="681"/>
      <c r="E31" s="686">
        <v>239.45</v>
      </c>
      <c r="F31" s="686">
        <v>272.5</v>
      </c>
      <c r="G31" s="687">
        <v>237.55</v>
      </c>
      <c r="H31" s="688">
        <v>249.14</v>
      </c>
      <c r="I31" s="637"/>
      <c r="J31" s="689"/>
      <c r="K31" s="660">
        <v>247.3</v>
      </c>
      <c r="L31" s="690">
        <v>272.3</v>
      </c>
      <c r="M31" s="637"/>
      <c r="N31" s="685"/>
      <c r="O31" s="637"/>
      <c r="P31" s="637"/>
      <c r="Q31" s="191"/>
      <c r="R31" s="191"/>
    </row>
    <row r="32" spans="1:18" ht="15">
      <c r="A32" s="637"/>
      <c r="B32" s="637"/>
      <c r="C32" s="637"/>
      <c r="D32" s="637"/>
      <c r="E32" s="589" t="s">
        <v>210</v>
      </c>
      <c r="F32" s="637"/>
      <c r="G32" s="637"/>
      <c r="H32" s="637"/>
      <c r="I32" s="637"/>
      <c r="J32" s="637"/>
      <c r="K32" s="637"/>
      <c r="L32" s="637"/>
      <c r="M32" s="637"/>
      <c r="N32" s="637"/>
      <c r="O32" s="637"/>
      <c r="P32" s="637"/>
      <c r="Q32" s="191"/>
      <c r="R32" s="191"/>
    </row>
    <row r="33" spans="1:18" ht="15">
      <c r="A33" s="691"/>
      <c r="B33" s="637"/>
      <c r="C33" s="637"/>
      <c r="D33" s="637"/>
      <c r="E33" s="647">
        <v>242.97</v>
      </c>
      <c r="F33" s="637"/>
      <c r="G33" s="637"/>
      <c r="H33" s="637"/>
      <c r="I33" s="637"/>
      <c r="J33" s="637"/>
      <c r="K33" s="637"/>
      <c r="L33" s="637"/>
      <c r="M33" s="637"/>
      <c r="N33" s="637"/>
      <c r="O33" s="637"/>
      <c r="P33" s="637"/>
      <c r="Q33" s="191"/>
      <c r="R33" s="191"/>
    </row>
    <row r="34" spans="1:18" ht="15">
      <c r="A34" s="637"/>
      <c r="B34" s="637"/>
      <c r="C34" s="637"/>
      <c r="D34" s="637"/>
      <c r="E34" s="647">
        <v>258.57</v>
      </c>
      <c r="F34" s="637"/>
      <c r="G34" s="637"/>
      <c r="H34" s="637"/>
      <c r="I34" s="637"/>
      <c r="J34" s="637"/>
      <c r="K34" s="637"/>
      <c r="L34" s="637"/>
      <c r="M34" s="637"/>
      <c r="N34" s="637"/>
      <c r="O34" s="637"/>
      <c r="P34" s="637"/>
      <c r="Q34" s="191"/>
      <c r="R34" s="191"/>
    </row>
    <row r="35" spans="1:18" ht="15.75" thickBot="1">
      <c r="A35" s="637"/>
      <c r="B35" s="637"/>
      <c r="C35" s="191"/>
      <c r="D35" s="637"/>
      <c r="E35" s="655">
        <v>265.81</v>
      </c>
      <c r="F35" s="637"/>
      <c r="G35" s="637"/>
      <c r="H35" s="637"/>
      <c r="I35" s="637"/>
      <c r="J35" s="637"/>
      <c r="K35" s="637"/>
      <c r="L35" s="637"/>
      <c r="M35" s="637"/>
      <c r="N35" s="637"/>
      <c r="O35" s="637"/>
      <c r="P35" s="637"/>
      <c r="Q35" s="191"/>
      <c r="R35" s="191"/>
    </row>
  </sheetData>
  <mergeCells count="18">
    <mergeCell ref="E1:G1"/>
    <mergeCell ref="H1:I1"/>
    <mergeCell ref="R1:S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J1:K1"/>
    <mergeCell ref="L1:M1"/>
    <mergeCell ref="N1:O1"/>
    <mergeCell ref="P1:Q1"/>
    <mergeCell ref="A1:B1"/>
    <mergeCell ref="C1:D1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:K29"/>
  <sheetViews>
    <sheetView topLeftCell="A10" workbookViewId="0">
      <selection activeCell="P1" sqref="P1"/>
    </sheetView>
  </sheetViews>
  <sheetFormatPr defaultRowHeight="12.75"/>
  <sheetData>
    <row r="29" spans="1:11">
      <c r="A29" s="1048" t="s">
        <v>1345</v>
      </c>
      <c r="B29" s="1048"/>
      <c r="C29" s="1048"/>
      <c r="D29" s="1048"/>
      <c r="E29" s="1048"/>
      <c r="F29" s="1048"/>
      <c r="G29" s="1048"/>
      <c r="H29" s="1048"/>
      <c r="I29" s="1048"/>
      <c r="J29" s="1048"/>
      <c r="K29" s="1048"/>
    </row>
  </sheetData>
  <mergeCells count="1">
    <mergeCell ref="A29:K2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J21"/>
  <sheetViews>
    <sheetView topLeftCell="D1" workbookViewId="0">
      <selection activeCell="N7" sqref="N7"/>
    </sheetView>
  </sheetViews>
  <sheetFormatPr defaultRowHeight="12.75"/>
  <sheetData>
    <row r="21" spans="1:10">
      <c r="A21" s="1048" t="s">
        <v>1346</v>
      </c>
      <c r="B21" s="1048"/>
      <c r="C21" s="1048"/>
      <c r="D21" s="1048"/>
      <c r="E21" s="1048"/>
      <c r="F21" s="1048"/>
      <c r="G21" s="1048"/>
      <c r="H21" s="1048"/>
      <c r="I21" s="1048"/>
      <c r="J21" s="1048"/>
    </row>
  </sheetData>
  <mergeCells count="1">
    <mergeCell ref="A21:J2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4" sqref="E14"/>
    </sheetView>
  </sheetViews>
  <sheetFormatPr defaultRowHeight="12.7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63"/>
  <sheetViews>
    <sheetView topLeftCell="A331" workbookViewId="0">
      <selection activeCell="E363" sqref="E363"/>
    </sheetView>
  </sheetViews>
  <sheetFormatPr defaultRowHeight="12.75"/>
  <cols>
    <col min="1" max="16384" width="9.140625" style="1"/>
  </cols>
  <sheetData>
    <row r="1" spans="1:37" ht="15" thickBot="1">
      <c r="A1" s="867" t="s">
        <v>1356</v>
      </c>
      <c r="B1" s="867">
        <v>280</v>
      </c>
      <c r="C1" s="868"/>
      <c r="D1" s="869" t="s">
        <v>135</v>
      </c>
      <c r="E1" s="1049" t="s">
        <v>1357</v>
      </c>
      <c r="F1" s="1049"/>
      <c r="G1" s="1049"/>
      <c r="H1" s="1049" t="s">
        <v>1358</v>
      </c>
      <c r="I1" s="1049"/>
      <c r="J1" s="1049"/>
      <c r="K1" s="1049" t="s">
        <v>1359</v>
      </c>
      <c r="L1" s="1049"/>
      <c r="M1" s="1049"/>
      <c r="N1" s="1049" t="s">
        <v>1360</v>
      </c>
      <c r="O1" s="1049"/>
      <c r="P1" s="1049"/>
      <c r="Q1" s="1049" t="s">
        <v>1361</v>
      </c>
      <c r="R1" s="1049"/>
      <c r="S1" s="1049"/>
      <c r="T1" s="1049" t="s">
        <v>1362</v>
      </c>
      <c r="U1" s="1049"/>
      <c r="V1" s="1049"/>
      <c r="W1" s="1049" t="s">
        <v>1363</v>
      </c>
      <c r="X1" s="1049"/>
      <c r="Y1" s="1049"/>
      <c r="Z1" s="1049" t="s">
        <v>1364</v>
      </c>
      <c r="AA1" s="1049"/>
      <c r="AB1" s="1049"/>
      <c r="AC1" s="1049" t="s">
        <v>1365</v>
      </c>
      <c r="AD1" s="1049"/>
      <c r="AE1" s="1049"/>
      <c r="AF1" s="1049" t="s">
        <v>1366</v>
      </c>
      <c r="AG1" s="1049"/>
      <c r="AH1" s="1049"/>
      <c r="AI1" s="1049" t="s">
        <v>1367</v>
      </c>
      <c r="AJ1" s="1049"/>
      <c r="AK1" s="1049"/>
    </row>
    <row r="2" spans="1:37" ht="15" thickBot="1">
      <c r="A2" s="867" t="s">
        <v>1368</v>
      </c>
      <c r="B2" s="867">
        <v>0</v>
      </c>
      <c r="C2" s="868"/>
      <c r="D2" s="870"/>
      <c r="E2" s="869" t="s">
        <v>1369</v>
      </c>
      <c r="F2" s="869" t="s">
        <v>1370</v>
      </c>
      <c r="G2" s="869" t="s">
        <v>1371</v>
      </c>
      <c r="H2" s="869" t="s">
        <v>1369</v>
      </c>
      <c r="I2" s="869" t="s">
        <v>1370</v>
      </c>
      <c r="J2" s="869" t="s">
        <v>1371</v>
      </c>
      <c r="K2" s="869" t="s">
        <v>1369</v>
      </c>
      <c r="L2" s="869" t="s">
        <v>1370</v>
      </c>
      <c r="M2" s="869" t="s">
        <v>1371</v>
      </c>
      <c r="N2" s="869" t="s">
        <v>1369</v>
      </c>
      <c r="O2" s="869" t="s">
        <v>1370</v>
      </c>
      <c r="P2" s="869" t="s">
        <v>1371</v>
      </c>
      <c r="Q2" s="869" t="s">
        <v>1369</v>
      </c>
      <c r="R2" s="869" t="s">
        <v>1370</v>
      </c>
      <c r="S2" s="869" t="s">
        <v>1371</v>
      </c>
      <c r="T2" s="869" t="s">
        <v>1369</v>
      </c>
      <c r="U2" s="869" t="s">
        <v>1370</v>
      </c>
      <c r="V2" s="869" t="s">
        <v>1371</v>
      </c>
      <c r="W2" s="869" t="s">
        <v>1369</v>
      </c>
      <c r="X2" s="869" t="s">
        <v>1370</v>
      </c>
      <c r="Y2" s="869" t="s">
        <v>1371</v>
      </c>
      <c r="Z2" s="869" t="s">
        <v>1369</v>
      </c>
      <c r="AA2" s="869" t="s">
        <v>1370</v>
      </c>
      <c r="AB2" s="869" t="s">
        <v>1371</v>
      </c>
      <c r="AC2" s="869" t="s">
        <v>1369</v>
      </c>
      <c r="AD2" s="869" t="s">
        <v>1370</v>
      </c>
      <c r="AE2" s="869" t="s">
        <v>1371</v>
      </c>
      <c r="AF2" s="869" t="s">
        <v>1369</v>
      </c>
      <c r="AG2" s="869" t="s">
        <v>1370</v>
      </c>
      <c r="AH2" s="869" t="s">
        <v>1371</v>
      </c>
      <c r="AI2" s="869" t="s">
        <v>1369</v>
      </c>
      <c r="AJ2" s="869" t="s">
        <v>1370</v>
      </c>
      <c r="AK2" s="869" t="s">
        <v>1371</v>
      </c>
    </row>
    <row r="3" spans="1:37" ht="15" thickBot="1">
      <c r="A3" s="867" t="s">
        <v>193</v>
      </c>
      <c r="B3" s="867">
        <v>6</v>
      </c>
      <c r="C3" s="868"/>
      <c r="D3" s="871">
        <v>0</v>
      </c>
      <c r="E3" s="872">
        <f t="shared" ref="E3:T18" si="0">E4-(E$363/360)</f>
        <v>1.6935342017632138E-12</v>
      </c>
      <c r="F3" s="872">
        <f t="shared" si="0"/>
        <v>1.1450840275983865E-12</v>
      </c>
      <c r="G3" s="872">
        <f t="shared" si="0"/>
        <v>-1.1035616864774056E-13</v>
      </c>
      <c r="H3" s="872">
        <f t="shared" si="0"/>
        <v>-1.6517898160373079E-12</v>
      </c>
      <c r="I3" s="872">
        <f t="shared" si="0"/>
        <v>-1.6904255772942633E-12</v>
      </c>
      <c r="J3" s="872">
        <f t="shared" si="0"/>
        <v>-8.7418960958984826E-13</v>
      </c>
      <c r="K3" s="872">
        <f t="shared" si="0"/>
        <v>1.2281287098403482E-12</v>
      </c>
      <c r="L3" s="872">
        <f t="shared" si="0"/>
        <v>7.8004269710163499E-13</v>
      </c>
      <c r="M3" s="872">
        <f t="shared" si="0"/>
        <v>1.2896350654045818E-12</v>
      </c>
      <c r="N3" s="872">
        <f t="shared" si="0"/>
        <v>0</v>
      </c>
      <c r="O3" s="872">
        <f t="shared" si="0"/>
        <v>-1.6628920462835595E-12</v>
      </c>
      <c r="P3" s="872">
        <f t="shared" si="0"/>
        <v>-2.1582735598713043E-13</v>
      </c>
      <c r="Q3" s="872">
        <f t="shared" si="0"/>
        <v>-1.3221646000260989E-12</v>
      </c>
      <c r="R3" s="872">
        <f t="shared" si="0"/>
        <v>-1.2916334668489071E-12</v>
      </c>
      <c r="S3" s="872">
        <f t="shared" si="0"/>
        <v>-1.6628920462835595E-12</v>
      </c>
      <c r="T3" s="872">
        <f t="shared" si="0"/>
        <v>-5.0515147620444623E-13</v>
      </c>
      <c r="U3" s="872">
        <f t="shared" ref="U3:AJ18" si="1">U4-(U$363/360)</f>
        <v>3.3228975127030935E-13</v>
      </c>
      <c r="V3" s="872">
        <f t="shared" si="1"/>
        <v>-1.2916334668489071E-12</v>
      </c>
      <c r="W3" s="872">
        <f t="shared" si="1"/>
        <v>-9.0705221111875289E-14</v>
      </c>
      <c r="X3" s="872">
        <f t="shared" si="1"/>
        <v>7.0732308898868723E-13</v>
      </c>
      <c r="Y3" s="872">
        <f t="shared" si="1"/>
        <v>3.3228975127030935E-13</v>
      </c>
      <c r="Z3" s="872">
        <f t="shared" si="1"/>
        <v>8.4676710088160689E-13</v>
      </c>
      <c r="AA3" s="872">
        <f t="shared" si="1"/>
        <v>-5.7442939294105599E-13</v>
      </c>
      <c r="AB3" s="872">
        <f t="shared" si="1"/>
        <v>7.0732308898868723E-13</v>
      </c>
      <c r="AC3" s="872">
        <f t="shared" si="1"/>
        <v>-8.2589490801865395E-13</v>
      </c>
      <c r="AD3" s="872">
        <f t="shared" si="1"/>
        <v>-2.9976021664879227E-15</v>
      </c>
      <c r="AE3" s="872">
        <f t="shared" si="1"/>
        <v>-5.7442939294105599E-13</v>
      </c>
      <c r="AF3" s="872">
        <f t="shared" si="1"/>
        <v>6.1406435492017408E-13</v>
      </c>
      <c r="AG3" s="872">
        <f t="shared" si="1"/>
        <v>-2.6689761511988763E-13</v>
      </c>
      <c r="AH3" s="872">
        <f t="shared" si="1"/>
        <v>-2.9976021664879227E-15</v>
      </c>
      <c r="AI3" s="872">
        <f t="shared" si="1"/>
        <v>-4.7584158835434209E-13</v>
      </c>
      <c r="AJ3" s="872">
        <f t="shared" si="1"/>
        <v>8.2278628354970351E-13</v>
      </c>
      <c r="AK3" s="872">
        <f t="shared" ref="AE3:AK39" si="2">AK4-(AK$363/360)</f>
        <v>-2.6689761511988763E-13</v>
      </c>
    </row>
    <row r="4" spans="1:37" ht="13.5" thickBot="1">
      <c r="A4" s="868"/>
      <c r="B4" s="868"/>
      <c r="C4" s="868"/>
      <c r="D4" s="873">
        <f>D3+0.2/72</f>
        <v>2.7777777777777779E-3</v>
      </c>
      <c r="E4" s="872">
        <f t="shared" si="0"/>
        <v>0.77777777777947132</v>
      </c>
      <c r="F4" s="872">
        <f t="shared" si="0"/>
        <v>0.82222222222336727</v>
      </c>
      <c r="G4" s="872">
        <f t="shared" si="0"/>
        <v>0.84999999999988962</v>
      </c>
      <c r="H4" s="872">
        <f t="shared" si="0"/>
        <v>0.72222222222057042</v>
      </c>
      <c r="I4" s="872">
        <f t="shared" si="0"/>
        <v>0.76666666666497629</v>
      </c>
      <c r="J4" s="872">
        <f t="shared" si="0"/>
        <v>0.79444444444357021</v>
      </c>
      <c r="K4" s="872">
        <f t="shared" si="0"/>
        <v>0.66666666666789476</v>
      </c>
      <c r="L4" s="872">
        <f t="shared" si="0"/>
        <v>0.71111111111189118</v>
      </c>
      <c r="M4" s="872">
        <f t="shared" si="0"/>
        <v>0.73888888889017856</v>
      </c>
      <c r="N4" s="872">
        <f t="shared" si="0"/>
        <v>0.5</v>
      </c>
      <c r="O4" s="872">
        <f t="shared" si="0"/>
        <v>0.54444444444278151</v>
      </c>
      <c r="P4" s="872">
        <f t="shared" si="0"/>
        <v>0.57222222222200636</v>
      </c>
      <c r="Q4" s="872">
        <f t="shared" si="0"/>
        <v>0.47222222222090005</v>
      </c>
      <c r="R4" s="872">
        <f t="shared" si="0"/>
        <v>0.51666666666537509</v>
      </c>
      <c r="S4" s="872">
        <f t="shared" si="0"/>
        <v>0.54444444444278151</v>
      </c>
      <c r="T4" s="872">
        <f t="shared" si="0"/>
        <v>0.44444444444393927</v>
      </c>
      <c r="U4" s="872">
        <f t="shared" si="1"/>
        <v>0.48888888888922116</v>
      </c>
      <c r="V4" s="872">
        <f t="shared" si="1"/>
        <v>0.51666666666537509</v>
      </c>
      <c r="W4" s="872">
        <f t="shared" si="1"/>
        <v>0.41666666666657598</v>
      </c>
      <c r="X4" s="872">
        <f t="shared" si="1"/>
        <v>0.46111111111181846</v>
      </c>
      <c r="Y4" s="872">
        <f t="shared" si="1"/>
        <v>0.48888888888922116</v>
      </c>
      <c r="Z4" s="872">
        <f t="shared" si="1"/>
        <v>0.38888888888973566</v>
      </c>
      <c r="AA4" s="872">
        <f t="shared" si="1"/>
        <v>0.43333333333275892</v>
      </c>
      <c r="AB4" s="872">
        <f t="shared" si="1"/>
        <v>0.46111111111181846</v>
      </c>
      <c r="AC4" s="872">
        <f t="shared" si="1"/>
        <v>0.36111111111028521</v>
      </c>
      <c r="AD4" s="872">
        <f t="shared" si="1"/>
        <v>0.40555555555555256</v>
      </c>
      <c r="AE4" s="872">
        <f t="shared" si="2"/>
        <v>0.43333333333275892</v>
      </c>
      <c r="AF4" s="872">
        <f t="shared" si="2"/>
        <v>0.33333333333394738</v>
      </c>
      <c r="AG4" s="872">
        <f t="shared" si="2"/>
        <v>0.37777777777751087</v>
      </c>
      <c r="AH4" s="872">
        <f t="shared" si="2"/>
        <v>0.40555555555555256</v>
      </c>
      <c r="AI4" s="872">
        <f t="shared" si="2"/>
        <v>0.30555555555507974</v>
      </c>
      <c r="AJ4" s="872">
        <f t="shared" si="2"/>
        <v>0.35000000000082276</v>
      </c>
      <c r="AK4" s="872">
        <f t="shared" si="2"/>
        <v>0.37777777777751087</v>
      </c>
    </row>
    <row r="5" spans="1:37" ht="13.5" thickBot="1">
      <c r="A5" s="868"/>
      <c r="B5" s="868"/>
      <c r="C5" s="868"/>
      <c r="D5" s="873">
        <f t="shared" ref="D5:D68" si="3">D4+0.2/72</f>
        <v>5.5555555555555558E-3</v>
      </c>
      <c r="E5" s="872">
        <f t="shared" si="0"/>
        <v>1.5555555555572491</v>
      </c>
      <c r="F5" s="872">
        <f t="shared" si="0"/>
        <v>1.6444444444455895</v>
      </c>
      <c r="G5" s="872">
        <f t="shared" si="0"/>
        <v>1.6999999999998896</v>
      </c>
      <c r="H5" s="872">
        <f t="shared" si="0"/>
        <v>1.4444444444427926</v>
      </c>
      <c r="I5" s="872">
        <f t="shared" si="0"/>
        <v>1.533333333331643</v>
      </c>
      <c r="J5" s="872">
        <f t="shared" si="0"/>
        <v>1.5888888888880146</v>
      </c>
      <c r="K5" s="872">
        <f t="shared" si="0"/>
        <v>1.3333333333345614</v>
      </c>
      <c r="L5" s="872">
        <f t="shared" si="0"/>
        <v>1.4222222222230023</v>
      </c>
      <c r="M5" s="872">
        <f t="shared" si="0"/>
        <v>1.4777777777790675</v>
      </c>
      <c r="N5" s="872">
        <f t="shared" si="0"/>
        <v>1</v>
      </c>
      <c r="O5" s="872">
        <f t="shared" si="0"/>
        <v>1.0888888888872259</v>
      </c>
      <c r="P5" s="872">
        <f t="shared" si="0"/>
        <v>1.1444444444442285</v>
      </c>
      <c r="Q5" s="872">
        <f t="shared" si="0"/>
        <v>0.94444444444312226</v>
      </c>
      <c r="R5" s="872">
        <f t="shared" si="0"/>
        <v>1.0333333333320418</v>
      </c>
      <c r="S5" s="872">
        <f t="shared" si="0"/>
        <v>1.0888888888872259</v>
      </c>
      <c r="T5" s="872">
        <f t="shared" si="0"/>
        <v>0.88888888888838369</v>
      </c>
      <c r="U5" s="872">
        <f t="shared" si="1"/>
        <v>0.97777777777811004</v>
      </c>
      <c r="V5" s="872">
        <f t="shared" si="1"/>
        <v>1.0333333333320418</v>
      </c>
      <c r="W5" s="872">
        <f t="shared" si="1"/>
        <v>0.83333333333324267</v>
      </c>
      <c r="X5" s="872">
        <f t="shared" si="1"/>
        <v>0.9222222222229296</v>
      </c>
      <c r="Y5" s="872">
        <f t="shared" si="1"/>
        <v>0.97777777777811004</v>
      </c>
      <c r="Z5" s="872">
        <f t="shared" si="1"/>
        <v>0.77777777777862456</v>
      </c>
      <c r="AA5" s="872">
        <f t="shared" si="1"/>
        <v>0.86666666666609227</v>
      </c>
      <c r="AB5" s="872">
        <f t="shared" si="1"/>
        <v>0.9222222222229296</v>
      </c>
      <c r="AC5" s="872">
        <f t="shared" si="1"/>
        <v>0.72222222222139631</v>
      </c>
      <c r="AD5" s="872">
        <f t="shared" si="1"/>
        <v>0.81111111111110812</v>
      </c>
      <c r="AE5" s="872">
        <f t="shared" si="2"/>
        <v>0.86666666666609227</v>
      </c>
      <c r="AF5" s="872">
        <f t="shared" si="2"/>
        <v>0.66666666666728069</v>
      </c>
      <c r="AG5" s="872">
        <f t="shared" si="2"/>
        <v>0.75555555555528864</v>
      </c>
      <c r="AH5" s="872">
        <f t="shared" si="2"/>
        <v>0.81111111111110812</v>
      </c>
      <c r="AI5" s="872">
        <f t="shared" si="2"/>
        <v>0.61111111111063532</v>
      </c>
      <c r="AJ5" s="872">
        <f t="shared" si="2"/>
        <v>0.70000000000082274</v>
      </c>
      <c r="AK5" s="872">
        <f t="shared" si="2"/>
        <v>0.75555555555528864</v>
      </c>
    </row>
    <row r="6" spans="1:37" ht="15" thickBot="1">
      <c r="A6" s="874"/>
      <c r="B6" s="874"/>
      <c r="C6" s="868"/>
      <c r="D6" s="873">
        <f t="shared" si="3"/>
        <v>8.3333333333333332E-3</v>
      </c>
      <c r="E6" s="872">
        <f t="shared" si="0"/>
        <v>2.3333333333350268</v>
      </c>
      <c r="F6" s="872">
        <f t="shared" si="0"/>
        <v>2.4666666666678116</v>
      </c>
      <c r="G6" s="872">
        <f t="shared" si="0"/>
        <v>2.5499999999998897</v>
      </c>
      <c r="H6" s="872">
        <f t="shared" si="0"/>
        <v>2.166666666665015</v>
      </c>
      <c r="I6" s="872">
        <f t="shared" si="0"/>
        <v>2.2999999999983096</v>
      </c>
      <c r="J6" s="872">
        <f t="shared" si="0"/>
        <v>2.3833333333324589</v>
      </c>
      <c r="K6" s="872">
        <f t="shared" si="0"/>
        <v>2.0000000000012279</v>
      </c>
      <c r="L6" s="872">
        <f t="shared" si="0"/>
        <v>2.1333333333341136</v>
      </c>
      <c r="M6" s="872">
        <f t="shared" si="0"/>
        <v>2.2166666666679564</v>
      </c>
      <c r="N6" s="872">
        <f t="shared" si="0"/>
        <v>1.5</v>
      </c>
      <c r="O6" s="872">
        <f t="shared" si="0"/>
        <v>1.6333333333316702</v>
      </c>
      <c r="P6" s="872">
        <f t="shared" si="0"/>
        <v>1.7166666666664507</v>
      </c>
      <c r="Q6" s="872">
        <f t="shared" si="0"/>
        <v>1.4166666666653445</v>
      </c>
      <c r="R6" s="872">
        <f t="shared" si="0"/>
        <v>1.5499999999987084</v>
      </c>
      <c r="S6" s="872">
        <f t="shared" si="0"/>
        <v>1.6333333333316702</v>
      </c>
      <c r="T6" s="872">
        <f t="shared" si="0"/>
        <v>1.3333333333328281</v>
      </c>
      <c r="U6" s="872">
        <f t="shared" si="1"/>
        <v>1.466666666666999</v>
      </c>
      <c r="V6" s="872">
        <f t="shared" si="1"/>
        <v>1.5499999999987084</v>
      </c>
      <c r="W6" s="872">
        <f t="shared" si="1"/>
        <v>1.2499999999999094</v>
      </c>
      <c r="X6" s="872">
        <f t="shared" si="1"/>
        <v>1.3833333333340407</v>
      </c>
      <c r="Y6" s="872">
        <f t="shared" si="1"/>
        <v>1.466666666666999</v>
      </c>
      <c r="Z6" s="872">
        <f t="shared" si="1"/>
        <v>1.1666666666675134</v>
      </c>
      <c r="AA6" s="872">
        <f t="shared" si="1"/>
        <v>1.2999999999994256</v>
      </c>
      <c r="AB6" s="872">
        <f t="shared" si="1"/>
        <v>1.3833333333340407</v>
      </c>
      <c r="AC6" s="872">
        <f t="shared" si="1"/>
        <v>1.0833333333325075</v>
      </c>
      <c r="AD6" s="872">
        <f t="shared" si="1"/>
        <v>1.2166666666666637</v>
      </c>
      <c r="AE6" s="872">
        <f t="shared" si="2"/>
        <v>1.2999999999994256</v>
      </c>
      <c r="AF6" s="872">
        <f t="shared" si="2"/>
        <v>1.000000000000614</v>
      </c>
      <c r="AG6" s="872">
        <f t="shared" si="2"/>
        <v>1.1333333333330664</v>
      </c>
      <c r="AH6" s="872">
        <f t="shared" si="2"/>
        <v>1.2166666666666637</v>
      </c>
      <c r="AI6" s="872">
        <f t="shared" si="2"/>
        <v>0.9166666666661909</v>
      </c>
      <c r="AJ6" s="872">
        <f t="shared" si="2"/>
        <v>1.0500000000008227</v>
      </c>
      <c r="AK6" s="872">
        <f t="shared" si="2"/>
        <v>1.1333333333330664</v>
      </c>
    </row>
    <row r="7" spans="1:37" ht="13.5" thickBot="1">
      <c r="A7" s="868"/>
      <c r="B7" s="868"/>
      <c r="C7" s="868"/>
      <c r="D7" s="873">
        <f t="shared" si="3"/>
        <v>1.1111111111111112E-2</v>
      </c>
      <c r="E7" s="872">
        <f t="shared" si="0"/>
        <v>3.1111111111128045</v>
      </c>
      <c r="F7" s="872">
        <f t="shared" si="0"/>
        <v>3.2888888888900336</v>
      </c>
      <c r="G7" s="872">
        <f t="shared" si="0"/>
        <v>3.3999999999998898</v>
      </c>
      <c r="H7" s="872">
        <f t="shared" si="0"/>
        <v>2.8888888888872373</v>
      </c>
      <c r="I7" s="872">
        <f t="shared" si="0"/>
        <v>3.0666666666649762</v>
      </c>
      <c r="J7" s="872">
        <f t="shared" si="0"/>
        <v>3.1777777777769032</v>
      </c>
      <c r="K7" s="872">
        <f t="shared" si="0"/>
        <v>2.6666666666678944</v>
      </c>
      <c r="L7" s="872">
        <f t="shared" si="0"/>
        <v>2.8444444444452248</v>
      </c>
      <c r="M7" s="872">
        <f t="shared" si="0"/>
        <v>2.9555555555568453</v>
      </c>
      <c r="N7" s="872">
        <f t="shared" si="0"/>
        <v>2</v>
      </c>
      <c r="O7" s="872">
        <f t="shared" si="0"/>
        <v>2.1777777777761145</v>
      </c>
      <c r="P7" s="872">
        <f t="shared" si="0"/>
        <v>2.2888888888886729</v>
      </c>
      <c r="Q7" s="872">
        <f t="shared" si="0"/>
        <v>1.8888888888875668</v>
      </c>
      <c r="R7" s="872">
        <f t="shared" si="0"/>
        <v>2.066666666665375</v>
      </c>
      <c r="S7" s="872">
        <f t="shared" si="0"/>
        <v>2.1777777777761145</v>
      </c>
      <c r="T7" s="872">
        <f t="shared" si="0"/>
        <v>1.7777777777772725</v>
      </c>
      <c r="U7" s="872">
        <f t="shared" si="1"/>
        <v>1.9555555555558879</v>
      </c>
      <c r="V7" s="872">
        <f t="shared" si="1"/>
        <v>2.066666666665375</v>
      </c>
      <c r="W7" s="872">
        <f t="shared" si="1"/>
        <v>1.6666666666665761</v>
      </c>
      <c r="X7" s="872">
        <f t="shared" si="1"/>
        <v>1.844444444445152</v>
      </c>
      <c r="Y7" s="872">
        <f t="shared" si="1"/>
        <v>1.9555555555558879</v>
      </c>
      <c r="Z7" s="872">
        <f t="shared" si="1"/>
        <v>1.5555555555564022</v>
      </c>
      <c r="AA7" s="872">
        <f t="shared" si="1"/>
        <v>1.733333333332759</v>
      </c>
      <c r="AB7" s="872">
        <f t="shared" si="1"/>
        <v>1.844444444445152</v>
      </c>
      <c r="AC7" s="872">
        <f t="shared" si="1"/>
        <v>1.4444444444436186</v>
      </c>
      <c r="AD7" s="872">
        <f t="shared" si="1"/>
        <v>1.6222222222222191</v>
      </c>
      <c r="AE7" s="872">
        <f t="shared" si="2"/>
        <v>1.733333333332759</v>
      </c>
      <c r="AF7" s="872">
        <f t="shared" si="2"/>
        <v>1.3333333333339472</v>
      </c>
      <c r="AG7" s="872">
        <f t="shared" si="2"/>
        <v>1.5111111111108442</v>
      </c>
      <c r="AH7" s="872">
        <f t="shared" si="2"/>
        <v>1.6222222222222191</v>
      </c>
      <c r="AI7" s="872">
        <f t="shared" si="2"/>
        <v>1.2222222222217465</v>
      </c>
      <c r="AJ7" s="872">
        <f t="shared" si="2"/>
        <v>1.4000000000008228</v>
      </c>
      <c r="AK7" s="872">
        <f t="shared" si="2"/>
        <v>1.5111111111108442</v>
      </c>
    </row>
    <row r="8" spans="1:37" ht="13.5" thickBot="1">
      <c r="A8" s="868"/>
      <c r="B8" s="868"/>
      <c r="C8" s="868"/>
      <c r="D8" s="873">
        <f t="shared" si="3"/>
        <v>1.388888888888889E-2</v>
      </c>
      <c r="E8" s="872">
        <f t="shared" si="0"/>
        <v>3.8888888888905822</v>
      </c>
      <c r="F8" s="872">
        <f t="shared" si="0"/>
        <v>4.1111111111122556</v>
      </c>
      <c r="G8" s="872">
        <f t="shared" si="0"/>
        <v>4.2499999999998899</v>
      </c>
      <c r="H8" s="872">
        <f t="shared" si="0"/>
        <v>3.6111111111094596</v>
      </c>
      <c r="I8" s="872">
        <f t="shared" si="0"/>
        <v>3.8333333333316428</v>
      </c>
      <c r="J8" s="872">
        <f t="shared" si="0"/>
        <v>3.9722222222213475</v>
      </c>
      <c r="K8" s="872">
        <f t="shared" si="0"/>
        <v>3.3333333333345609</v>
      </c>
      <c r="L8" s="872">
        <f t="shared" si="0"/>
        <v>3.5555555555563361</v>
      </c>
      <c r="M8" s="872">
        <f t="shared" si="0"/>
        <v>3.6944444444457343</v>
      </c>
      <c r="N8" s="872">
        <f t="shared" si="0"/>
        <v>2.5</v>
      </c>
      <c r="O8" s="872">
        <f t="shared" si="0"/>
        <v>2.7222222222205588</v>
      </c>
      <c r="P8" s="872">
        <f t="shared" si="0"/>
        <v>2.8611111111108949</v>
      </c>
      <c r="Q8" s="872">
        <f t="shared" si="0"/>
        <v>2.3611111111097891</v>
      </c>
      <c r="R8" s="872">
        <f t="shared" si="0"/>
        <v>2.5833333333320416</v>
      </c>
      <c r="S8" s="872">
        <f t="shared" si="0"/>
        <v>2.7222222222205588</v>
      </c>
      <c r="T8" s="872">
        <f t="shared" si="0"/>
        <v>2.2222222222217169</v>
      </c>
      <c r="U8" s="872">
        <f t="shared" si="1"/>
        <v>2.4444444444447768</v>
      </c>
      <c r="V8" s="872">
        <f t="shared" si="1"/>
        <v>2.5833333333320416</v>
      </c>
      <c r="W8" s="872">
        <f t="shared" si="1"/>
        <v>2.0833333333332429</v>
      </c>
      <c r="X8" s="872">
        <f t="shared" si="1"/>
        <v>2.3055555555562632</v>
      </c>
      <c r="Y8" s="872">
        <f t="shared" si="1"/>
        <v>2.4444444444447768</v>
      </c>
      <c r="Z8" s="872">
        <f t="shared" si="1"/>
        <v>1.9444444444452911</v>
      </c>
      <c r="AA8" s="872">
        <f t="shared" si="1"/>
        <v>2.1666666666660923</v>
      </c>
      <c r="AB8" s="872">
        <f t="shared" si="1"/>
        <v>2.3055555555562632</v>
      </c>
      <c r="AC8" s="872">
        <f t="shared" si="1"/>
        <v>1.8055555555547298</v>
      </c>
      <c r="AD8" s="872">
        <f t="shared" si="1"/>
        <v>2.0277777777777746</v>
      </c>
      <c r="AE8" s="872">
        <f t="shared" si="2"/>
        <v>2.1666666666660923</v>
      </c>
      <c r="AF8" s="872">
        <f t="shared" si="2"/>
        <v>1.6666666666672805</v>
      </c>
      <c r="AG8" s="872">
        <f t="shared" si="2"/>
        <v>1.8888888888886219</v>
      </c>
      <c r="AH8" s="872">
        <f t="shared" si="2"/>
        <v>2.0277777777777746</v>
      </c>
      <c r="AI8" s="872">
        <f t="shared" si="2"/>
        <v>1.5277777777773021</v>
      </c>
      <c r="AJ8" s="872">
        <f t="shared" si="2"/>
        <v>1.7500000000008229</v>
      </c>
      <c r="AK8" s="872">
        <f t="shared" si="2"/>
        <v>1.8888888888886219</v>
      </c>
    </row>
    <row r="9" spans="1:37" ht="13.5" thickBot="1">
      <c r="A9" s="868"/>
      <c r="B9" s="868"/>
      <c r="C9" s="868"/>
      <c r="D9" s="873">
        <f t="shared" si="3"/>
        <v>1.6666666666666666E-2</v>
      </c>
      <c r="E9" s="872">
        <f t="shared" si="0"/>
        <v>4.6666666666683598</v>
      </c>
      <c r="F9" s="872">
        <f t="shared" si="0"/>
        <v>4.9333333333344775</v>
      </c>
      <c r="G9" s="872">
        <f t="shared" si="0"/>
        <v>5.0999999999998895</v>
      </c>
      <c r="H9" s="872">
        <f t="shared" si="0"/>
        <v>4.3333333333316819</v>
      </c>
      <c r="I9" s="872">
        <f t="shared" si="0"/>
        <v>4.5999999999983094</v>
      </c>
      <c r="J9" s="872">
        <f t="shared" si="0"/>
        <v>4.7666666666657918</v>
      </c>
      <c r="K9" s="872">
        <f t="shared" si="0"/>
        <v>4.0000000000012275</v>
      </c>
      <c r="L9" s="872">
        <f t="shared" si="0"/>
        <v>4.2666666666674473</v>
      </c>
      <c r="M9" s="872">
        <f t="shared" si="0"/>
        <v>4.4333333333346232</v>
      </c>
      <c r="N9" s="872">
        <f t="shared" si="0"/>
        <v>3</v>
      </c>
      <c r="O9" s="872">
        <f t="shared" si="0"/>
        <v>3.266666666665003</v>
      </c>
      <c r="P9" s="872">
        <f t="shared" si="0"/>
        <v>3.4333333333331169</v>
      </c>
      <c r="Q9" s="872">
        <f t="shared" si="0"/>
        <v>2.8333333333320114</v>
      </c>
      <c r="R9" s="872">
        <f t="shared" si="0"/>
        <v>3.0999999999987082</v>
      </c>
      <c r="S9" s="872">
        <f t="shared" si="0"/>
        <v>3.266666666665003</v>
      </c>
      <c r="T9" s="872">
        <f t="shared" si="0"/>
        <v>2.6666666666661616</v>
      </c>
      <c r="U9" s="872">
        <f t="shared" si="1"/>
        <v>2.9333333333336657</v>
      </c>
      <c r="V9" s="872">
        <f t="shared" si="1"/>
        <v>3.0999999999987082</v>
      </c>
      <c r="W9" s="872">
        <f t="shared" si="1"/>
        <v>2.4999999999999094</v>
      </c>
      <c r="X9" s="872">
        <f t="shared" si="1"/>
        <v>2.7666666666673745</v>
      </c>
      <c r="Y9" s="872">
        <f t="shared" si="1"/>
        <v>2.9333333333336657</v>
      </c>
      <c r="Z9" s="872">
        <f t="shared" si="1"/>
        <v>2.3333333333341799</v>
      </c>
      <c r="AA9" s="872">
        <f t="shared" si="1"/>
        <v>2.5999999999994259</v>
      </c>
      <c r="AB9" s="872">
        <f t="shared" si="1"/>
        <v>2.7666666666673745</v>
      </c>
      <c r="AC9" s="872">
        <f t="shared" si="1"/>
        <v>2.166666666665841</v>
      </c>
      <c r="AD9" s="872">
        <f t="shared" si="1"/>
        <v>2.43333333333333</v>
      </c>
      <c r="AE9" s="872">
        <f t="shared" si="2"/>
        <v>2.5999999999994259</v>
      </c>
      <c r="AF9" s="872">
        <f t="shared" si="2"/>
        <v>2.0000000000006137</v>
      </c>
      <c r="AG9" s="872">
        <f t="shared" si="2"/>
        <v>2.2666666666663997</v>
      </c>
      <c r="AH9" s="872">
        <f t="shared" si="2"/>
        <v>2.43333333333333</v>
      </c>
      <c r="AI9" s="872">
        <f t="shared" si="2"/>
        <v>1.8333333333328576</v>
      </c>
      <c r="AJ9" s="872">
        <f t="shared" si="2"/>
        <v>2.100000000000823</v>
      </c>
      <c r="AK9" s="872">
        <f t="shared" si="2"/>
        <v>2.2666666666663997</v>
      </c>
    </row>
    <row r="10" spans="1:37" ht="13.5" thickBot="1">
      <c r="A10" s="868"/>
      <c r="B10" s="868"/>
      <c r="C10" s="868"/>
      <c r="D10" s="873">
        <f t="shared" si="3"/>
        <v>1.9444444444444445E-2</v>
      </c>
      <c r="E10" s="872">
        <f t="shared" si="0"/>
        <v>5.4444444444461375</v>
      </c>
      <c r="F10" s="872">
        <f t="shared" si="0"/>
        <v>5.7555555555566995</v>
      </c>
      <c r="G10" s="872">
        <f t="shared" si="0"/>
        <v>5.9499999999998892</v>
      </c>
      <c r="H10" s="872">
        <f t="shared" si="0"/>
        <v>5.0555555555539042</v>
      </c>
      <c r="I10" s="872">
        <f t="shared" si="0"/>
        <v>5.366666666664976</v>
      </c>
      <c r="J10" s="872">
        <f t="shared" si="0"/>
        <v>5.561111111110236</v>
      </c>
      <c r="K10" s="872">
        <f t="shared" si="0"/>
        <v>4.6666666666678944</v>
      </c>
      <c r="L10" s="872">
        <f t="shared" si="0"/>
        <v>4.9777777777785586</v>
      </c>
      <c r="M10" s="872">
        <f t="shared" si="0"/>
        <v>5.1722222222235121</v>
      </c>
      <c r="N10" s="872">
        <f t="shared" si="0"/>
        <v>3.5</v>
      </c>
      <c r="O10" s="872">
        <f t="shared" si="0"/>
        <v>3.8111111111094473</v>
      </c>
      <c r="P10" s="872">
        <f t="shared" si="0"/>
        <v>4.0055555555553388</v>
      </c>
      <c r="Q10" s="872">
        <f t="shared" si="0"/>
        <v>3.3055555555542337</v>
      </c>
      <c r="R10" s="872">
        <f t="shared" si="0"/>
        <v>3.6166666666653748</v>
      </c>
      <c r="S10" s="872">
        <f t="shared" si="0"/>
        <v>3.8111111111094473</v>
      </c>
      <c r="T10" s="872">
        <f t="shared" si="0"/>
        <v>3.1111111111106062</v>
      </c>
      <c r="U10" s="872">
        <f t="shared" si="1"/>
        <v>3.4222222222225547</v>
      </c>
      <c r="V10" s="872">
        <f t="shared" si="1"/>
        <v>3.6166666666653748</v>
      </c>
      <c r="W10" s="872">
        <f t="shared" si="1"/>
        <v>2.9166666666665759</v>
      </c>
      <c r="X10" s="872">
        <f t="shared" si="1"/>
        <v>3.2277777777784857</v>
      </c>
      <c r="Y10" s="872">
        <f t="shared" si="1"/>
        <v>3.4222222222225547</v>
      </c>
      <c r="Z10" s="872">
        <f t="shared" si="1"/>
        <v>2.7222222222230688</v>
      </c>
      <c r="AA10" s="872">
        <f t="shared" si="1"/>
        <v>3.0333333333327595</v>
      </c>
      <c r="AB10" s="872">
        <f t="shared" si="1"/>
        <v>3.2277777777784857</v>
      </c>
      <c r="AC10" s="872">
        <f t="shared" si="1"/>
        <v>2.5277777777769521</v>
      </c>
      <c r="AD10" s="872">
        <f t="shared" si="1"/>
        <v>2.8388888888888855</v>
      </c>
      <c r="AE10" s="872">
        <f t="shared" si="2"/>
        <v>3.0333333333327595</v>
      </c>
      <c r="AF10" s="872">
        <f t="shared" si="2"/>
        <v>2.3333333333339472</v>
      </c>
      <c r="AG10" s="872">
        <f t="shared" si="2"/>
        <v>2.6444444444441775</v>
      </c>
      <c r="AH10" s="872">
        <f t="shared" si="2"/>
        <v>2.8388888888888855</v>
      </c>
      <c r="AI10" s="872">
        <f t="shared" si="2"/>
        <v>2.1388888888884132</v>
      </c>
      <c r="AJ10" s="872">
        <f t="shared" si="2"/>
        <v>2.4500000000008231</v>
      </c>
      <c r="AK10" s="872">
        <f t="shared" si="2"/>
        <v>2.6444444444441775</v>
      </c>
    </row>
    <row r="11" spans="1:37" ht="13.5" thickBot="1">
      <c r="A11" s="868"/>
      <c r="B11" s="868"/>
      <c r="C11" s="868"/>
      <c r="D11" s="873">
        <f t="shared" si="3"/>
        <v>2.2222222222222223E-2</v>
      </c>
      <c r="E11" s="872">
        <f t="shared" si="0"/>
        <v>6.2222222222239152</v>
      </c>
      <c r="F11" s="872">
        <f t="shared" si="0"/>
        <v>6.5777777777789215</v>
      </c>
      <c r="G11" s="872">
        <f t="shared" si="0"/>
        <v>6.7999999999998888</v>
      </c>
      <c r="H11" s="872">
        <f t="shared" si="0"/>
        <v>5.7777777777761266</v>
      </c>
      <c r="I11" s="872">
        <f t="shared" si="0"/>
        <v>6.1333333333316427</v>
      </c>
      <c r="J11" s="872">
        <f t="shared" si="0"/>
        <v>6.3555555555546803</v>
      </c>
      <c r="K11" s="872">
        <f t="shared" si="0"/>
        <v>5.3333333333345614</v>
      </c>
      <c r="L11" s="872">
        <f t="shared" si="0"/>
        <v>5.6888888888896698</v>
      </c>
      <c r="M11" s="872">
        <f t="shared" si="0"/>
        <v>5.9111111111124011</v>
      </c>
      <c r="N11" s="872">
        <f t="shared" si="0"/>
        <v>4</v>
      </c>
      <c r="O11" s="872">
        <f t="shared" si="0"/>
        <v>4.3555555555538916</v>
      </c>
      <c r="P11" s="872">
        <f t="shared" si="0"/>
        <v>4.5777777777775608</v>
      </c>
      <c r="Q11" s="872">
        <f t="shared" si="0"/>
        <v>3.7777777777764561</v>
      </c>
      <c r="R11" s="872">
        <f t="shared" si="0"/>
        <v>4.1333333333320414</v>
      </c>
      <c r="S11" s="872">
        <f t="shared" si="0"/>
        <v>4.3555555555538916</v>
      </c>
      <c r="T11" s="872">
        <f t="shared" si="0"/>
        <v>3.5555555555550509</v>
      </c>
      <c r="U11" s="872">
        <f t="shared" si="1"/>
        <v>3.9111111111114436</v>
      </c>
      <c r="V11" s="872">
        <f t="shared" si="1"/>
        <v>4.1333333333320414</v>
      </c>
      <c r="W11" s="872">
        <f t="shared" si="1"/>
        <v>3.3333333333332424</v>
      </c>
      <c r="X11" s="872">
        <f t="shared" si="1"/>
        <v>3.688888888889597</v>
      </c>
      <c r="Y11" s="872">
        <f t="shared" si="1"/>
        <v>3.9111111111114436</v>
      </c>
      <c r="Z11" s="872">
        <f t="shared" si="1"/>
        <v>3.1111111111119576</v>
      </c>
      <c r="AA11" s="872">
        <f t="shared" si="1"/>
        <v>3.466666666666093</v>
      </c>
      <c r="AB11" s="872">
        <f t="shared" si="1"/>
        <v>3.688888888889597</v>
      </c>
      <c r="AC11" s="872">
        <f t="shared" si="1"/>
        <v>2.8888888888880633</v>
      </c>
      <c r="AD11" s="872">
        <f t="shared" si="1"/>
        <v>3.2444444444444409</v>
      </c>
      <c r="AE11" s="872">
        <f t="shared" si="2"/>
        <v>3.466666666666093</v>
      </c>
      <c r="AF11" s="872">
        <f t="shared" si="2"/>
        <v>2.6666666666672807</v>
      </c>
      <c r="AG11" s="872">
        <f t="shared" si="2"/>
        <v>3.0222222222219552</v>
      </c>
      <c r="AH11" s="872">
        <f t="shared" si="2"/>
        <v>3.2444444444444409</v>
      </c>
      <c r="AI11" s="872">
        <f t="shared" si="2"/>
        <v>2.4444444444439686</v>
      </c>
      <c r="AJ11" s="872">
        <f t="shared" si="2"/>
        <v>2.8000000000008232</v>
      </c>
      <c r="AK11" s="872">
        <f t="shared" si="2"/>
        <v>3.0222222222219552</v>
      </c>
    </row>
    <row r="12" spans="1:37" ht="13.5" thickBot="1">
      <c r="A12" s="868"/>
      <c r="B12" s="868"/>
      <c r="C12" s="868"/>
      <c r="D12" s="873">
        <f t="shared" si="3"/>
        <v>2.5000000000000001E-2</v>
      </c>
      <c r="E12" s="872">
        <f t="shared" si="0"/>
        <v>7.0000000000016929</v>
      </c>
      <c r="F12" s="872">
        <f t="shared" si="0"/>
        <v>7.4000000000011434</v>
      </c>
      <c r="G12" s="872">
        <f t="shared" si="0"/>
        <v>7.6499999999998884</v>
      </c>
      <c r="H12" s="872">
        <f t="shared" si="0"/>
        <v>6.4999999999983489</v>
      </c>
      <c r="I12" s="872">
        <f t="shared" si="0"/>
        <v>6.8999999999983093</v>
      </c>
      <c r="J12" s="872">
        <f t="shared" si="0"/>
        <v>7.1499999999991246</v>
      </c>
      <c r="K12" s="872">
        <f t="shared" si="0"/>
        <v>6.0000000000012284</v>
      </c>
      <c r="L12" s="872">
        <f t="shared" si="0"/>
        <v>6.4000000000007811</v>
      </c>
      <c r="M12" s="872">
        <f t="shared" si="0"/>
        <v>6.65000000000129</v>
      </c>
      <c r="N12" s="872">
        <f t="shared" si="0"/>
        <v>4.5</v>
      </c>
      <c r="O12" s="872">
        <f t="shared" si="0"/>
        <v>4.8999999999983359</v>
      </c>
      <c r="P12" s="872">
        <f t="shared" si="0"/>
        <v>5.1499999999997828</v>
      </c>
      <c r="Q12" s="872">
        <f t="shared" si="0"/>
        <v>4.2499999999986784</v>
      </c>
      <c r="R12" s="872">
        <f t="shared" si="0"/>
        <v>4.6499999999987081</v>
      </c>
      <c r="S12" s="872">
        <f t="shared" si="0"/>
        <v>4.8999999999983359</v>
      </c>
      <c r="T12" s="872">
        <f t="shared" si="0"/>
        <v>3.9999999999994955</v>
      </c>
      <c r="U12" s="872">
        <f t="shared" si="1"/>
        <v>4.4000000000003325</v>
      </c>
      <c r="V12" s="872">
        <f t="shared" si="1"/>
        <v>4.6499999999987081</v>
      </c>
      <c r="W12" s="872">
        <f t="shared" si="1"/>
        <v>3.749999999999909</v>
      </c>
      <c r="X12" s="872">
        <f t="shared" si="1"/>
        <v>4.1500000000007082</v>
      </c>
      <c r="Y12" s="872">
        <f t="shared" si="1"/>
        <v>4.4000000000003325</v>
      </c>
      <c r="Z12" s="872">
        <f t="shared" si="1"/>
        <v>3.5000000000008464</v>
      </c>
      <c r="AA12" s="872">
        <f t="shared" si="1"/>
        <v>3.8999999999994266</v>
      </c>
      <c r="AB12" s="872">
        <f t="shared" si="1"/>
        <v>4.1500000000007082</v>
      </c>
      <c r="AC12" s="872">
        <f t="shared" si="1"/>
        <v>3.2499999999991744</v>
      </c>
      <c r="AD12" s="872">
        <f t="shared" si="1"/>
        <v>3.6499999999999964</v>
      </c>
      <c r="AE12" s="872">
        <f t="shared" si="2"/>
        <v>3.8999999999994266</v>
      </c>
      <c r="AF12" s="872">
        <f t="shared" si="2"/>
        <v>3.0000000000006142</v>
      </c>
      <c r="AG12" s="872">
        <f t="shared" si="2"/>
        <v>3.399999999999733</v>
      </c>
      <c r="AH12" s="872">
        <f t="shared" si="2"/>
        <v>3.6499999999999964</v>
      </c>
      <c r="AI12" s="872">
        <f t="shared" si="2"/>
        <v>2.7499999999995239</v>
      </c>
      <c r="AJ12" s="872">
        <f t="shared" si="2"/>
        <v>3.1500000000008233</v>
      </c>
      <c r="AK12" s="872">
        <f t="shared" si="2"/>
        <v>3.399999999999733</v>
      </c>
    </row>
    <row r="13" spans="1:37" ht="13.5" thickBot="1">
      <c r="A13" s="868"/>
      <c r="B13" s="868"/>
      <c r="C13" s="868"/>
      <c r="D13" s="873">
        <f t="shared" si="3"/>
        <v>2.777777777777778E-2</v>
      </c>
      <c r="E13" s="872">
        <f t="shared" si="0"/>
        <v>7.7777777777794705</v>
      </c>
      <c r="F13" s="872">
        <f t="shared" si="0"/>
        <v>8.2222222222233654</v>
      </c>
      <c r="G13" s="872">
        <f t="shared" si="0"/>
        <v>8.4999999999998881</v>
      </c>
      <c r="H13" s="872">
        <f t="shared" si="0"/>
        <v>7.2222222222205712</v>
      </c>
      <c r="I13" s="872">
        <f t="shared" si="0"/>
        <v>7.6666666666649759</v>
      </c>
      <c r="J13" s="872">
        <f t="shared" si="0"/>
        <v>7.9444444444435689</v>
      </c>
      <c r="K13" s="872">
        <f t="shared" si="0"/>
        <v>6.6666666666678953</v>
      </c>
      <c r="L13" s="872">
        <f t="shared" si="0"/>
        <v>7.1111111111118923</v>
      </c>
      <c r="M13" s="872">
        <f t="shared" si="0"/>
        <v>7.3888888888901789</v>
      </c>
      <c r="N13" s="872">
        <f t="shared" si="0"/>
        <v>5</v>
      </c>
      <c r="O13" s="872">
        <f t="shared" si="0"/>
        <v>5.4444444444427802</v>
      </c>
      <c r="P13" s="872">
        <f t="shared" si="0"/>
        <v>5.7222222222220047</v>
      </c>
      <c r="Q13" s="872">
        <f t="shared" si="0"/>
        <v>4.7222222222209007</v>
      </c>
      <c r="R13" s="872">
        <f t="shared" si="0"/>
        <v>5.1666666666653747</v>
      </c>
      <c r="S13" s="872">
        <f t="shared" si="0"/>
        <v>5.4444444444427802</v>
      </c>
      <c r="T13" s="872">
        <f t="shared" si="0"/>
        <v>4.4444444444439402</v>
      </c>
      <c r="U13" s="872">
        <f t="shared" si="1"/>
        <v>4.8888888888892215</v>
      </c>
      <c r="V13" s="872">
        <f t="shared" si="1"/>
        <v>5.1666666666653747</v>
      </c>
      <c r="W13" s="872">
        <f t="shared" si="1"/>
        <v>4.1666666666665755</v>
      </c>
      <c r="X13" s="872">
        <f t="shared" si="1"/>
        <v>4.6111111111118195</v>
      </c>
      <c r="Y13" s="872">
        <f t="shared" si="1"/>
        <v>4.8888888888892215</v>
      </c>
      <c r="Z13" s="872">
        <f t="shared" si="1"/>
        <v>3.8888888888897353</v>
      </c>
      <c r="AA13" s="872">
        <f t="shared" si="1"/>
        <v>4.3333333333327602</v>
      </c>
      <c r="AB13" s="872">
        <f t="shared" si="1"/>
        <v>4.6111111111118195</v>
      </c>
      <c r="AC13" s="872">
        <f t="shared" si="1"/>
        <v>3.6111111111102856</v>
      </c>
      <c r="AD13" s="872">
        <f t="shared" si="1"/>
        <v>4.0555555555555518</v>
      </c>
      <c r="AE13" s="872">
        <f t="shared" si="2"/>
        <v>4.3333333333327602</v>
      </c>
      <c r="AF13" s="872">
        <f t="shared" si="2"/>
        <v>3.3333333333339477</v>
      </c>
      <c r="AG13" s="872">
        <f t="shared" si="2"/>
        <v>3.7777777777775108</v>
      </c>
      <c r="AH13" s="872">
        <f t="shared" si="2"/>
        <v>4.0555555555555518</v>
      </c>
      <c r="AI13" s="872">
        <f t="shared" si="2"/>
        <v>3.0555555555550793</v>
      </c>
      <c r="AJ13" s="872">
        <f t="shared" si="2"/>
        <v>3.5000000000008233</v>
      </c>
      <c r="AK13" s="872">
        <f t="shared" si="2"/>
        <v>3.7777777777775108</v>
      </c>
    </row>
    <row r="14" spans="1:37" ht="13.5" thickBot="1">
      <c r="A14" s="868"/>
      <c r="B14" s="868"/>
      <c r="C14" s="868"/>
      <c r="D14" s="873">
        <f t="shared" si="3"/>
        <v>3.0555555555555558E-2</v>
      </c>
      <c r="E14" s="872">
        <f t="shared" si="0"/>
        <v>8.5555555555572482</v>
      </c>
      <c r="F14" s="872">
        <f t="shared" si="0"/>
        <v>9.0444444444455883</v>
      </c>
      <c r="G14" s="872">
        <f t="shared" si="0"/>
        <v>9.3499999999998877</v>
      </c>
      <c r="H14" s="872">
        <f t="shared" si="0"/>
        <v>7.9444444444427935</v>
      </c>
      <c r="I14" s="872">
        <f t="shared" si="0"/>
        <v>8.4333333333316425</v>
      </c>
      <c r="J14" s="872">
        <f t="shared" si="0"/>
        <v>8.7388888888880132</v>
      </c>
      <c r="K14" s="872">
        <f t="shared" si="0"/>
        <v>7.3333333333345623</v>
      </c>
      <c r="L14" s="872">
        <f t="shared" si="0"/>
        <v>7.8222222222230036</v>
      </c>
      <c r="M14" s="872">
        <f t="shared" si="0"/>
        <v>8.1277777777790678</v>
      </c>
      <c r="N14" s="872">
        <f t="shared" si="0"/>
        <v>5.5</v>
      </c>
      <c r="O14" s="872">
        <f t="shared" si="0"/>
        <v>5.9888888888872245</v>
      </c>
      <c r="P14" s="872">
        <f t="shared" si="0"/>
        <v>6.2944444444442267</v>
      </c>
      <c r="Q14" s="872">
        <f t="shared" si="0"/>
        <v>5.194444444443123</v>
      </c>
      <c r="R14" s="872">
        <f t="shared" si="0"/>
        <v>5.6833333333320413</v>
      </c>
      <c r="S14" s="872">
        <f t="shared" si="0"/>
        <v>5.9888888888872245</v>
      </c>
      <c r="T14" s="872">
        <f t="shared" si="0"/>
        <v>4.8888888888883848</v>
      </c>
      <c r="U14" s="872">
        <f t="shared" si="1"/>
        <v>5.3777777777781104</v>
      </c>
      <c r="V14" s="872">
        <f t="shared" si="1"/>
        <v>5.6833333333320413</v>
      </c>
      <c r="W14" s="872">
        <f t="shared" si="1"/>
        <v>4.5833333333332424</v>
      </c>
      <c r="X14" s="872">
        <f t="shared" si="1"/>
        <v>5.0722222222229307</v>
      </c>
      <c r="Y14" s="872">
        <f t="shared" si="1"/>
        <v>5.3777777777781104</v>
      </c>
      <c r="Z14" s="872">
        <f t="shared" si="1"/>
        <v>4.2777777777786241</v>
      </c>
      <c r="AA14" s="872">
        <f t="shared" si="1"/>
        <v>4.7666666666660937</v>
      </c>
      <c r="AB14" s="872">
        <f t="shared" si="1"/>
        <v>5.0722222222229307</v>
      </c>
      <c r="AC14" s="872">
        <f t="shared" si="1"/>
        <v>3.9722222222213968</v>
      </c>
      <c r="AD14" s="872">
        <f t="shared" si="1"/>
        <v>4.4611111111111077</v>
      </c>
      <c r="AE14" s="872">
        <f t="shared" si="2"/>
        <v>4.7666666666660937</v>
      </c>
      <c r="AF14" s="872">
        <f t="shared" si="2"/>
        <v>3.6666666666672811</v>
      </c>
      <c r="AG14" s="872">
        <f t="shared" si="2"/>
        <v>4.1555555555552885</v>
      </c>
      <c r="AH14" s="872">
        <f t="shared" si="2"/>
        <v>4.4611111111111077</v>
      </c>
      <c r="AI14" s="872">
        <f t="shared" si="2"/>
        <v>3.3611111111106347</v>
      </c>
      <c r="AJ14" s="872">
        <f t="shared" si="2"/>
        <v>3.8500000000008234</v>
      </c>
      <c r="AK14" s="872">
        <f t="shared" si="2"/>
        <v>4.1555555555552885</v>
      </c>
    </row>
    <row r="15" spans="1:37" ht="13.5" thickBot="1">
      <c r="A15" s="868"/>
      <c r="B15" s="868"/>
      <c r="C15" s="868"/>
      <c r="D15" s="873">
        <f t="shared" si="3"/>
        <v>3.3333333333333333E-2</v>
      </c>
      <c r="E15" s="872">
        <f t="shared" si="0"/>
        <v>9.3333333333350268</v>
      </c>
      <c r="F15" s="872">
        <f t="shared" si="0"/>
        <v>9.8666666666678111</v>
      </c>
      <c r="G15" s="872">
        <f t="shared" si="0"/>
        <v>10.199999999999887</v>
      </c>
      <c r="H15" s="872">
        <f t="shared" si="0"/>
        <v>8.6666666666650158</v>
      </c>
      <c r="I15" s="872">
        <f t="shared" si="0"/>
        <v>9.19999999999831</v>
      </c>
      <c r="J15" s="872">
        <f t="shared" si="0"/>
        <v>9.5333333333324575</v>
      </c>
      <c r="K15" s="872">
        <f t="shared" si="0"/>
        <v>8.0000000000012292</v>
      </c>
      <c r="L15" s="872">
        <f t="shared" si="0"/>
        <v>8.5333333333341148</v>
      </c>
      <c r="M15" s="872">
        <f t="shared" si="0"/>
        <v>8.8666666666679568</v>
      </c>
      <c r="N15" s="872">
        <f t="shared" si="0"/>
        <v>6</v>
      </c>
      <c r="O15" s="872">
        <f t="shared" si="0"/>
        <v>6.5333333333316688</v>
      </c>
      <c r="P15" s="872">
        <f t="shared" si="0"/>
        <v>6.8666666666664486</v>
      </c>
      <c r="Q15" s="872">
        <f t="shared" si="0"/>
        <v>5.6666666666653454</v>
      </c>
      <c r="R15" s="872">
        <f t="shared" si="0"/>
        <v>6.1999999999987079</v>
      </c>
      <c r="S15" s="872">
        <f t="shared" si="0"/>
        <v>6.5333333333316688</v>
      </c>
      <c r="T15" s="872">
        <f t="shared" si="0"/>
        <v>5.3333333333328294</v>
      </c>
      <c r="U15" s="872">
        <f t="shared" si="1"/>
        <v>5.8666666666669993</v>
      </c>
      <c r="V15" s="872">
        <f t="shared" si="1"/>
        <v>6.1999999999987079</v>
      </c>
      <c r="W15" s="872">
        <f t="shared" si="1"/>
        <v>4.9999999999999094</v>
      </c>
      <c r="X15" s="872">
        <f t="shared" si="1"/>
        <v>5.533333333334042</v>
      </c>
      <c r="Y15" s="872">
        <f t="shared" si="1"/>
        <v>5.8666666666669993</v>
      </c>
      <c r="Z15" s="872">
        <f t="shared" si="1"/>
        <v>4.6666666666675134</v>
      </c>
      <c r="AA15" s="872">
        <f t="shared" si="1"/>
        <v>5.1999999999994273</v>
      </c>
      <c r="AB15" s="872">
        <f t="shared" si="1"/>
        <v>5.533333333334042</v>
      </c>
      <c r="AC15" s="872">
        <f t="shared" si="1"/>
        <v>4.3333333333325079</v>
      </c>
      <c r="AD15" s="872">
        <f t="shared" si="1"/>
        <v>4.8666666666666636</v>
      </c>
      <c r="AE15" s="872">
        <f t="shared" si="2"/>
        <v>5.1999999999994273</v>
      </c>
      <c r="AF15" s="872">
        <f t="shared" si="2"/>
        <v>4.0000000000006146</v>
      </c>
      <c r="AG15" s="872">
        <f t="shared" si="2"/>
        <v>4.5333333333330668</v>
      </c>
      <c r="AH15" s="872">
        <f t="shared" si="2"/>
        <v>4.8666666666666636</v>
      </c>
      <c r="AI15" s="872">
        <f t="shared" si="2"/>
        <v>3.66666666666619</v>
      </c>
      <c r="AJ15" s="872">
        <f t="shared" si="2"/>
        <v>4.2000000000008235</v>
      </c>
      <c r="AK15" s="872">
        <f t="shared" si="2"/>
        <v>4.5333333333330668</v>
      </c>
    </row>
    <row r="16" spans="1:37" ht="13.5" thickBot="1">
      <c r="A16" s="868"/>
      <c r="B16" s="868"/>
      <c r="C16" s="868"/>
      <c r="D16" s="873">
        <f t="shared" si="3"/>
        <v>3.6111111111111108E-2</v>
      </c>
      <c r="E16" s="872">
        <f t="shared" si="0"/>
        <v>10.111111111112805</v>
      </c>
      <c r="F16" s="872">
        <f t="shared" si="0"/>
        <v>10.688888888890034</v>
      </c>
      <c r="G16" s="872">
        <f t="shared" si="0"/>
        <v>11.049999999999887</v>
      </c>
      <c r="H16" s="872">
        <f t="shared" si="0"/>
        <v>9.3888888888872373</v>
      </c>
      <c r="I16" s="872">
        <f t="shared" si="0"/>
        <v>9.9666666666649775</v>
      </c>
      <c r="J16" s="872">
        <f t="shared" si="0"/>
        <v>10.327777777776902</v>
      </c>
      <c r="K16" s="872">
        <f t="shared" si="0"/>
        <v>8.6666666666678953</v>
      </c>
      <c r="L16" s="872">
        <f t="shared" si="0"/>
        <v>9.2444444444452252</v>
      </c>
      <c r="M16" s="872">
        <f t="shared" si="0"/>
        <v>9.6055555555568457</v>
      </c>
      <c r="N16" s="872">
        <f t="shared" si="0"/>
        <v>6.5</v>
      </c>
      <c r="O16" s="872">
        <f t="shared" si="0"/>
        <v>7.0777777777761131</v>
      </c>
      <c r="P16" s="872">
        <f t="shared" si="0"/>
        <v>7.4388888888886706</v>
      </c>
      <c r="Q16" s="872">
        <f t="shared" si="0"/>
        <v>6.1388888888875677</v>
      </c>
      <c r="R16" s="872">
        <f t="shared" si="0"/>
        <v>6.7166666666653745</v>
      </c>
      <c r="S16" s="872">
        <f t="shared" si="0"/>
        <v>7.0777777777761131</v>
      </c>
      <c r="T16" s="872">
        <f t="shared" si="0"/>
        <v>5.7777777777772741</v>
      </c>
      <c r="U16" s="872">
        <f t="shared" si="1"/>
        <v>6.3555555555558882</v>
      </c>
      <c r="V16" s="872">
        <f t="shared" si="1"/>
        <v>6.7166666666653745</v>
      </c>
      <c r="W16" s="872">
        <f t="shared" si="1"/>
        <v>5.4166666666665764</v>
      </c>
      <c r="X16" s="872">
        <f t="shared" si="1"/>
        <v>5.9944444444451532</v>
      </c>
      <c r="Y16" s="872">
        <f t="shared" si="1"/>
        <v>6.3555555555558882</v>
      </c>
      <c r="Z16" s="872">
        <f t="shared" si="1"/>
        <v>5.0555555555564027</v>
      </c>
      <c r="AA16" s="872">
        <f t="shared" si="1"/>
        <v>5.6333333333327609</v>
      </c>
      <c r="AB16" s="872">
        <f t="shared" si="1"/>
        <v>5.9944444444451532</v>
      </c>
      <c r="AC16" s="872">
        <f t="shared" si="1"/>
        <v>4.6944444444436186</v>
      </c>
      <c r="AD16" s="872">
        <f t="shared" si="1"/>
        <v>5.2722222222222195</v>
      </c>
      <c r="AE16" s="872">
        <f t="shared" si="2"/>
        <v>5.6333333333327609</v>
      </c>
      <c r="AF16" s="872">
        <f t="shared" si="2"/>
        <v>4.3333333333339477</v>
      </c>
      <c r="AG16" s="872">
        <f t="shared" si="2"/>
        <v>4.911111111110845</v>
      </c>
      <c r="AH16" s="872">
        <f t="shared" si="2"/>
        <v>5.2722222222222195</v>
      </c>
      <c r="AI16" s="872">
        <f t="shared" si="2"/>
        <v>3.9722222222217454</v>
      </c>
      <c r="AJ16" s="872">
        <f t="shared" si="2"/>
        <v>4.5500000000008232</v>
      </c>
      <c r="AK16" s="872">
        <f t="shared" si="2"/>
        <v>4.911111111110845</v>
      </c>
    </row>
    <row r="17" spans="1:37" ht="13.5" thickBot="1">
      <c r="A17" s="868"/>
      <c r="B17" s="868"/>
      <c r="C17" s="868"/>
      <c r="D17" s="873">
        <f t="shared" si="3"/>
        <v>3.8888888888888883E-2</v>
      </c>
      <c r="E17" s="872">
        <f t="shared" si="0"/>
        <v>10.888888888890584</v>
      </c>
      <c r="F17" s="872">
        <f t="shared" si="0"/>
        <v>11.511111111112257</v>
      </c>
      <c r="G17" s="872">
        <f t="shared" si="0"/>
        <v>11.899999999999887</v>
      </c>
      <c r="H17" s="872">
        <f t="shared" si="0"/>
        <v>10.111111111109459</v>
      </c>
      <c r="I17" s="872">
        <f t="shared" si="0"/>
        <v>10.733333333331645</v>
      </c>
      <c r="J17" s="872">
        <f t="shared" si="0"/>
        <v>11.122222222221346</v>
      </c>
      <c r="K17" s="872">
        <f t="shared" si="0"/>
        <v>9.3333333333345614</v>
      </c>
      <c r="L17" s="872">
        <f t="shared" si="0"/>
        <v>9.9555555555563355</v>
      </c>
      <c r="M17" s="872">
        <f t="shared" si="0"/>
        <v>10.344444444445735</v>
      </c>
      <c r="N17" s="872">
        <f t="shared" si="0"/>
        <v>7</v>
      </c>
      <c r="O17" s="872">
        <f t="shared" si="0"/>
        <v>7.6222222222205573</v>
      </c>
      <c r="P17" s="872">
        <f t="shared" si="0"/>
        <v>8.0111111111108926</v>
      </c>
      <c r="Q17" s="872">
        <f t="shared" si="0"/>
        <v>6.61111111110979</v>
      </c>
      <c r="R17" s="872">
        <f t="shared" si="0"/>
        <v>7.2333333333320411</v>
      </c>
      <c r="S17" s="872">
        <f t="shared" si="0"/>
        <v>7.6222222222205573</v>
      </c>
      <c r="T17" s="872">
        <f t="shared" si="0"/>
        <v>6.2222222222217187</v>
      </c>
      <c r="U17" s="872">
        <f t="shared" si="1"/>
        <v>6.8444444444447772</v>
      </c>
      <c r="V17" s="872">
        <f t="shared" si="1"/>
        <v>7.2333333333320411</v>
      </c>
      <c r="W17" s="872">
        <f t="shared" si="1"/>
        <v>5.8333333333332433</v>
      </c>
      <c r="X17" s="872">
        <f t="shared" si="1"/>
        <v>6.4555555555562645</v>
      </c>
      <c r="Y17" s="872">
        <f t="shared" si="1"/>
        <v>6.8444444444447772</v>
      </c>
      <c r="Z17" s="872">
        <f t="shared" si="1"/>
        <v>5.444444444445292</v>
      </c>
      <c r="AA17" s="872">
        <f t="shared" si="1"/>
        <v>6.0666666666660944</v>
      </c>
      <c r="AB17" s="872">
        <f t="shared" si="1"/>
        <v>6.4555555555562645</v>
      </c>
      <c r="AC17" s="872">
        <f t="shared" si="1"/>
        <v>5.0555555555547294</v>
      </c>
      <c r="AD17" s="872">
        <f t="shared" si="1"/>
        <v>5.6777777777777754</v>
      </c>
      <c r="AE17" s="872">
        <f t="shared" si="2"/>
        <v>6.0666666666660944</v>
      </c>
      <c r="AF17" s="872">
        <f t="shared" si="2"/>
        <v>4.6666666666672807</v>
      </c>
      <c r="AG17" s="872">
        <f t="shared" si="2"/>
        <v>5.2888888888886232</v>
      </c>
      <c r="AH17" s="872">
        <f t="shared" si="2"/>
        <v>5.6777777777777754</v>
      </c>
      <c r="AI17" s="872">
        <f t="shared" si="2"/>
        <v>4.2777777777773007</v>
      </c>
      <c r="AJ17" s="872">
        <f t="shared" si="2"/>
        <v>4.9000000000008228</v>
      </c>
      <c r="AK17" s="872">
        <f t="shared" si="2"/>
        <v>5.2888888888886232</v>
      </c>
    </row>
    <row r="18" spans="1:37" ht="13.5" thickBot="1">
      <c r="A18" s="868"/>
      <c r="B18" s="868"/>
      <c r="C18" s="868"/>
      <c r="D18" s="873">
        <f t="shared" si="3"/>
        <v>4.1666666666666657E-2</v>
      </c>
      <c r="E18" s="872">
        <f t="shared" si="0"/>
        <v>11.666666666668362</v>
      </c>
      <c r="F18" s="872">
        <f t="shared" si="0"/>
        <v>12.33333333333448</v>
      </c>
      <c r="G18" s="872">
        <f t="shared" si="0"/>
        <v>12.749999999999886</v>
      </c>
      <c r="H18" s="872">
        <f t="shared" si="0"/>
        <v>10.83333333333168</v>
      </c>
      <c r="I18" s="872">
        <f t="shared" si="0"/>
        <v>11.499999999998312</v>
      </c>
      <c r="J18" s="872">
        <f t="shared" si="0"/>
        <v>11.91666666666579</v>
      </c>
      <c r="K18" s="872">
        <f t="shared" si="0"/>
        <v>10.000000000001227</v>
      </c>
      <c r="L18" s="872">
        <f t="shared" si="0"/>
        <v>10.666666666667446</v>
      </c>
      <c r="M18" s="872">
        <f t="shared" si="0"/>
        <v>11.083333333334624</v>
      </c>
      <c r="N18" s="872">
        <f t="shared" si="0"/>
        <v>7.5</v>
      </c>
      <c r="O18" s="872">
        <f t="shared" si="0"/>
        <v>8.1666666666650016</v>
      </c>
      <c r="P18" s="872">
        <f t="shared" si="0"/>
        <v>8.5833333333331154</v>
      </c>
      <c r="Q18" s="872">
        <f t="shared" si="0"/>
        <v>7.0833333333320123</v>
      </c>
      <c r="R18" s="872">
        <f t="shared" si="0"/>
        <v>7.7499999999987077</v>
      </c>
      <c r="S18" s="872">
        <f t="shared" si="0"/>
        <v>8.1666666666650016</v>
      </c>
      <c r="T18" s="872">
        <f t="shared" ref="T18:AE41" si="4">T19-(T$363/360)</f>
        <v>6.6666666666661634</v>
      </c>
      <c r="U18" s="872">
        <f t="shared" si="1"/>
        <v>7.3333333333336661</v>
      </c>
      <c r="V18" s="872">
        <f t="shared" si="1"/>
        <v>7.7499999999987077</v>
      </c>
      <c r="W18" s="872">
        <f t="shared" si="1"/>
        <v>6.2499999999999103</v>
      </c>
      <c r="X18" s="872">
        <f t="shared" si="1"/>
        <v>6.9166666666673757</v>
      </c>
      <c r="Y18" s="872">
        <f t="shared" si="1"/>
        <v>7.3333333333336661</v>
      </c>
      <c r="Z18" s="872">
        <f t="shared" si="1"/>
        <v>5.8333333333341812</v>
      </c>
      <c r="AA18" s="872">
        <f t="shared" si="1"/>
        <v>6.499999999999428</v>
      </c>
      <c r="AB18" s="872">
        <f t="shared" si="1"/>
        <v>6.9166666666673757</v>
      </c>
      <c r="AC18" s="872">
        <f t="shared" si="1"/>
        <v>5.4166666666658401</v>
      </c>
      <c r="AD18" s="872">
        <f t="shared" si="1"/>
        <v>6.0833333333333313</v>
      </c>
      <c r="AE18" s="872">
        <f t="shared" si="2"/>
        <v>6.499999999999428</v>
      </c>
      <c r="AF18" s="872">
        <f t="shared" si="2"/>
        <v>5.0000000000006137</v>
      </c>
      <c r="AG18" s="872">
        <f t="shared" si="2"/>
        <v>5.6666666666664014</v>
      </c>
      <c r="AH18" s="872">
        <f t="shared" si="2"/>
        <v>6.0833333333333313</v>
      </c>
      <c r="AI18" s="872">
        <f t="shared" si="2"/>
        <v>4.5833333333328561</v>
      </c>
      <c r="AJ18" s="872">
        <f t="shared" si="2"/>
        <v>5.2500000000008225</v>
      </c>
      <c r="AK18" s="872">
        <f t="shared" si="2"/>
        <v>5.6666666666664014</v>
      </c>
    </row>
    <row r="19" spans="1:37" ht="13.5" thickBot="1">
      <c r="A19" s="868"/>
      <c r="B19" s="868"/>
      <c r="C19" s="868"/>
      <c r="D19" s="873">
        <f t="shared" si="3"/>
        <v>4.4444444444444432E-2</v>
      </c>
      <c r="E19" s="872">
        <f t="shared" ref="E19:S35" si="5">E20-(E$363/360)</f>
        <v>12.444444444446141</v>
      </c>
      <c r="F19" s="872">
        <f t="shared" si="5"/>
        <v>13.155555555556703</v>
      </c>
      <c r="G19" s="872">
        <f t="shared" si="5"/>
        <v>13.599999999999886</v>
      </c>
      <c r="H19" s="872">
        <f t="shared" si="5"/>
        <v>11.555555555553902</v>
      </c>
      <c r="I19" s="872">
        <f t="shared" si="5"/>
        <v>12.26666666666498</v>
      </c>
      <c r="J19" s="872">
        <f t="shared" si="5"/>
        <v>12.711111111110235</v>
      </c>
      <c r="K19" s="872">
        <f t="shared" si="5"/>
        <v>10.666666666667894</v>
      </c>
      <c r="L19" s="872">
        <f t="shared" si="5"/>
        <v>11.377777777778556</v>
      </c>
      <c r="M19" s="872">
        <f t="shared" si="5"/>
        <v>11.822222222223512</v>
      </c>
      <c r="N19" s="872">
        <f t="shared" si="5"/>
        <v>8</v>
      </c>
      <c r="O19" s="872">
        <f t="shared" si="5"/>
        <v>8.7111111111094459</v>
      </c>
      <c r="P19" s="872">
        <f t="shared" si="5"/>
        <v>9.1555555555553383</v>
      </c>
      <c r="Q19" s="872">
        <f t="shared" si="5"/>
        <v>7.5555555555542346</v>
      </c>
      <c r="R19" s="872">
        <f t="shared" si="5"/>
        <v>8.2666666666653743</v>
      </c>
      <c r="S19" s="872">
        <f t="shared" si="5"/>
        <v>8.7111111111094459</v>
      </c>
      <c r="T19" s="872">
        <f t="shared" si="4"/>
        <v>7.111111111110608</v>
      </c>
      <c r="U19" s="872">
        <f t="shared" si="4"/>
        <v>7.822222222222555</v>
      </c>
      <c r="V19" s="872">
        <f t="shared" si="4"/>
        <v>8.2666666666653743</v>
      </c>
      <c r="W19" s="872">
        <f t="shared" si="4"/>
        <v>6.6666666666665773</v>
      </c>
      <c r="X19" s="872">
        <f t="shared" si="4"/>
        <v>7.377777777778487</v>
      </c>
      <c r="Y19" s="872">
        <f t="shared" si="4"/>
        <v>7.822222222222555</v>
      </c>
      <c r="Z19" s="872">
        <f t="shared" si="4"/>
        <v>6.2222222222230705</v>
      </c>
      <c r="AA19" s="872">
        <f t="shared" si="4"/>
        <v>6.9333333333327616</v>
      </c>
      <c r="AB19" s="872">
        <f t="shared" si="4"/>
        <v>7.377777777778487</v>
      </c>
      <c r="AC19" s="872">
        <f t="shared" si="4"/>
        <v>5.7777777777769508</v>
      </c>
      <c r="AD19" s="872">
        <f t="shared" si="4"/>
        <v>6.4888888888888872</v>
      </c>
      <c r="AE19" s="872">
        <f t="shared" si="2"/>
        <v>6.9333333333327616</v>
      </c>
      <c r="AF19" s="872">
        <f t="shared" si="2"/>
        <v>5.3333333333339468</v>
      </c>
      <c r="AG19" s="872">
        <f t="shared" si="2"/>
        <v>6.0444444444441796</v>
      </c>
      <c r="AH19" s="872">
        <f t="shared" si="2"/>
        <v>6.4888888888888872</v>
      </c>
      <c r="AI19" s="872">
        <f t="shared" si="2"/>
        <v>4.8888888888884114</v>
      </c>
      <c r="AJ19" s="872">
        <f t="shared" si="2"/>
        <v>5.6000000000008221</v>
      </c>
      <c r="AK19" s="872">
        <f t="shared" si="2"/>
        <v>6.0444444444441796</v>
      </c>
    </row>
    <row r="20" spans="1:37" ht="13.5" thickBot="1">
      <c r="A20" s="868"/>
      <c r="B20" s="868"/>
      <c r="C20" s="868"/>
      <c r="D20" s="873">
        <f t="shared" si="3"/>
        <v>4.7222222222222207E-2</v>
      </c>
      <c r="E20" s="872">
        <f t="shared" si="5"/>
        <v>13.22222222222392</v>
      </c>
      <c r="F20" s="872">
        <f t="shared" si="5"/>
        <v>13.977777777778925</v>
      </c>
      <c r="G20" s="872">
        <f t="shared" si="5"/>
        <v>14.449999999999886</v>
      </c>
      <c r="H20" s="872">
        <f t="shared" si="5"/>
        <v>12.277777777776123</v>
      </c>
      <c r="I20" s="872">
        <f t="shared" si="5"/>
        <v>13.033333333331647</v>
      </c>
      <c r="J20" s="872">
        <f t="shared" si="5"/>
        <v>13.505555555554679</v>
      </c>
      <c r="K20" s="872">
        <f t="shared" si="5"/>
        <v>11.33333333333456</v>
      </c>
      <c r="L20" s="872">
        <f t="shared" si="5"/>
        <v>12.088888888889667</v>
      </c>
      <c r="M20" s="872">
        <f t="shared" si="5"/>
        <v>12.561111111112401</v>
      </c>
      <c r="N20" s="872">
        <f t="shared" si="5"/>
        <v>8.5</v>
      </c>
      <c r="O20" s="872">
        <f t="shared" si="5"/>
        <v>9.2555555555538902</v>
      </c>
      <c r="P20" s="872">
        <f t="shared" si="5"/>
        <v>9.7277777777775611</v>
      </c>
      <c r="Q20" s="872">
        <f t="shared" si="5"/>
        <v>8.027777777776457</v>
      </c>
      <c r="R20" s="872">
        <f t="shared" si="5"/>
        <v>8.7833333333320418</v>
      </c>
      <c r="S20" s="872">
        <f t="shared" si="5"/>
        <v>9.2555555555538902</v>
      </c>
      <c r="T20" s="872">
        <f t="shared" si="4"/>
        <v>7.5555555555550526</v>
      </c>
      <c r="U20" s="872">
        <f t="shared" si="4"/>
        <v>8.311111111111444</v>
      </c>
      <c r="V20" s="872">
        <f t="shared" si="4"/>
        <v>8.7833333333320418</v>
      </c>
      <c r="W20" s="872">
        <f t="shared" si="4"/>
        <v>7.0833333333332442</v>
      </c>
      <c r="X20" s="872">
        <f t="shared" si="4"/>
        <v>7.8388888888895982</v>
      </c>
      <c r="Y20" s="872">
        <f t="shared" si="4"/>
        <v>8.311111111111444</v>
      </c>
      <c r="Z20" s="872">
        <f t="shared" si="4"/>
        <v>6.6111111111119598</v>
      </c>
      <c r="AA20" s="872">
        <f t="shared" si="4"/>
        <v>7.3666666666660952</v>
      </c>
      <c r="AB20" s="872">
        <f t="shared" si="4"/>
        <v>7.8388888888895982</v>
      </c>
      <c r="AC20" s="872">
        <f t="shared" si="4"/>
        <v>6.1388888888880615</v>
      </c>
      <c r="AD20" s="872">
        <f t="shared" si="4"/>
        <v>6.894444444444443</v>
      </c>
      <c r="AE20" s="872">
        <f t="shared" si="2"/>
        <v>7.3666666666660952</v>
      </c>
      <c r="AF20" s="872">
        <f t="shared" si="2"/>
        <v>5.6666666666672798</v>
      </c>
      <c r="AG20" s="872">
        <f t="shared" si="2"/>
        <v>6.4222222222219578</v>
      </c>
      <c r="AH20" s="872">
        <f t="shared" si="2"/>
        <v>6.894444444444443</v>
      </c>
      <c r="AI20" s="872">
        <f t="shared" si="2"/>
        <v>5.1944444444439668</v>
      </c>
      <c r="AJ20" s="872">
        <f t="shared" si="2"/>
        <v>5.9500000000008217</v>
      </c>
      <c r="AK20" s="872">
        <f t="shared" si="2"/>
        <v>6.4222222222219578</v>
      </c>
    </row>
    <row r="21" spans="1:37" ht="13.5" thickBot="1">
      <c r="A21" s="868"/>
      <c r="B21" s="868"/>
      <c r="C21" s="868"/>
      <c r="D21" s="873">
        <f t="shared" si="3"/>
        <v>4.9999999999999982E-2</v>
      </c>
      <c r="E21" s="872">
        <f t="shared" si="5"/>
        <v>14.000000000001698</v>
      </c>
      <c r="F21" s="872">
        <f t="shared" si="5"/>
        <v>14.800000000001148</v>
      </c>
      <c r="G21" s="872">
        <f t="shared" si="5"/>
        <v>15.299999999999885</v>
      </c>
      <c r="H21" s="872">
        <f t="shared" si="5"/>
        <v>12.999999999998344</v>
      </c>
      <c r="I21" s="872">
        <f t="shared" si="5"/>
        <v>13.799999999998315</v>
      </c>
      <c r="J21" s="872">
        <f t="shared" si="5"/>
        <v>14.299999999999123</v>
      </c>
      <c r="K21" s="872">
        <f t="shared" si="5"/>
        <v>12.000000000001226</v>
      </c>
      <c r="L21" s="872">
        <f t="shared" si="5"/>
        <v>12.800000000000777</v>
      </c>
      <c r="M21" s="872">
        <f t="shared" si="5"/>
        <v>13.30000000000129</v>
      </c>
      <c r="N21" s="872">
        <f t="shared" si="5"/>
        <v>9</v>
      </c>
      <c r="O21" s="872">
        <f t="shared" si="5"/>
        <v>9.7999999999983345</v>
      </c>
      <c r="P21" s="872">
        <f t="shared" si="5"/>
        <v>10.299999999999784</v>
      </c>
      <c r="Q21" s="872">
        <f t="shared" si="5"/>
        <v>8.4999999999986784</v>
      </c>
      <c r="R21" s="872">
        <f t="shared" si="5"/>
        <v>9.2999999999987093</v>
      </c>
      <c r="S21" s="872">
        <f t="shared" si="5"/>
        <v>9.7999999999983345</v>
      </c>
      <c r="T21" s="872">
        <f t="shared" si="4"/>
        <v>7.9999999999994973</v>
      </c>
      <c r="U21" s="872">
        <f t="shared" si="4"/>
        <v>8.8000000000003329</v>
      </c>
      <c r="V21" s="872">
        <f t="shared" si="4"/>
        <v>9.2999999999987093</v>
      </c>
      <c r="W21" s="872">
        <f t="shared" si="4"/>
        <v>7.4999999999999112</v>
      </c>
      <c r="X21" s="872">
        <f t="shared" si="4"/>
        <v>8.3000000000007095</v>
      </c>
      <c r="Y21" s="872">
        <f t="shared" si="4"/>
        <v>8.8000000000003329</v>
      </c>
      <c r="Z21" s="872">
        <f t="shared" si="4"/>
        <v>7.0000000000008491</v>
      </c>
      <c r="AA21" s="872">
        <f t="shared" si="4"/>
        <v>7.7999999999994287</v>
      </c>
      <c r="AB21" s="872">
        <f t="shared" si="4"/>
        <v>8.3000000000007095</v>
      </c>
      <c r="AC21" s="872">
        <f t="shared" si="4"/>
        <v>6.4999999999991722</v>
      </c>
      <c r="AD21" s="872">
        <f t="shared" si="4"/>
        <v>7.2999999999999989</v>
      </c>
      <c r="AE21" s="872">
        <f t="shared" si="2"/>
        <v>7.7999999999994287</v>
      </c>
      <c r="AF21" s="872">
        <f t="shared" si="2"/>
        <v>6.0000000000006128</v>
      </c>
      <c r="AG21" s="872">
        <f t="shared" si="2"/>
        <v>6.799999999999736</v>
      </c>
      <c r="AH21" s="872">
        <f t="shared" si="2"/>
        <v>7.2999999999999989</v>
      </c>
      <c r="AI21" s="872">
        <f t="shared" si="2"/>
        <v>5.4999999999995222</v>
      </c>
      <c r="AJ21" s="872">
        <f t="shared" si="2"/>
        <v>6.3000000000008214</v>
      </c>
      <c r="AK21" s="872">
        <f t="shared" si="2"/>
        <v>6.799999999999736</v>
      </c>
    </row>
    <row r="22" spans="1:37" ht="13.5" thickBot="1">
      <c r="A22" s="868"/>
      <c r="B22" s="868"/>
      <c r="C22" s="868"/>
      <c r="D22" s="873">
        <f t="shared" si="3"/>
        <v>5.2777777777777757E-2</v>
      </c>
      <c r="E22" s="872">
        <f t="shared" si="5"/>
        <v>14.777777777779477</v>
      </c>
      <c r="F22" s="872">
        <f t="shared" si="5"/>
        <v>15.622222222223371</v>
      </c>
      <c r="G22" s="872">
        <f t="shared" si="5"/>
        <v>16.149999999999885</v>
      </c>
      <c r="H22" s="872">
        <f t="shared" si="5"/>
        <v>13.722222222220566</v>
      </c>
      <c r="I22" s="872">
        <f t="shared" si="5"/>
        <v>14.566666666664982</v>
      </c>
      <c r="J22" s="872">
        <f t="shared" si="5"/>
        <v>15.094444444443567</v>
      </c>
      <c r="K22" s="872">
        <f t="shared" si="5"/>
        <v>12.666666666667892</v>
      </c>
      <c r="L22" s="872">
        <f t="shared" si="5"/>
        <v>13.511111111111887</v>
      </c>
      <c r="M22" s="872">
        <f t="shared" si="5"/>
        <v>14.038888888890179</v>
      </c>
      <c r="N22" s="872">
        <f t="shared" si="5"/>
        <v>9.5</v>
      </c>
      <c r="O22" s="872">
        <f t="shared" si="5"/>
        <v>10.344444444442779</v>
      </c>
      <c r="P22" s="872">
        <f t="shared" si="5"/>
        <v>10.872222222222007</v>
      </c>
      <c r="Q22" s="872">
        <f t="shared" si="5"/>
        <v>8.9722222222208998</v>
      </c>
      <c r="R22" s="872">
        <f t="shared" si="5"/>
        <v>9.8166666666653768</v>
      </c>
      <c r="S22" s="872">
        <f t="shared" si="5"/>
        <v>10.344444444442779</v>
      </c>
      <c r="T22" s="872">
        <f t="shared" si="4"/>
        <v>8.4444444444439419</v>
      </c>
      <c r="U22" s="872">
        <f t="shared" si="4"/>
        <v>9.2888888888892218</v>
      </c>
      <c r="V22" s="872">
        <f t="shared" si="4"/>
        <v>9.8166666666653768</v>
      </c>
      <c r="W22" s="872">
        <f t="shared" si="4"/>
        <v>7.9166666666665781</v>
      </c>
      <c r="X22" s="872">
        <f t="shared" si="4"/>
        <v>8.7611111111118198</v>
      </c>
      <c r="Y22" s="872">
        <f t="shared" si="4"/>
        <v>9.2888888888892218</v>
      </c>
      <c r="Z22" s="872">
        <f t="shared" si="4"/>
        <v>7.3888888888897384</v>
      </c>
      <c r="AA22" s="872">
        <f t="shared" si="4"/>
        <v>8.2333333333327623</v>
      </c>
      <c r="AB22" s="872">
        <f t="shared" si="4"/>
        <v>8.7611111111118198</v>
      </c>
      <c r="AC22" s="872">
        <f t="shared" si="4"/>
        <v>6.8611111111102829</v>
      </c>
      <c r="AD22" s="872">
        <f t="shared" si="4"/>
        <v>7.7055555555555548</v>
      </c>
      <c r="AE22" s="872">
        <f t="shared" si="2"/>
        <v>8.2333333333327623</v>
      </c>
      <c r="AF22" s="872">
        <f t="shared" si="2"/>
        <v>6.3333333333339459</v>
      </c>
      <c r="AG22" s="872">
        <f t="shared" si="2"/>
        <v>7.1777777777775142</v>
      </c>
      <c r="AH22" s="872">
        <f t="shared" si="2"/>
        <v>7.7055555555555548</v>
      </c>
      <c r="AI22" s="872">
        <f t="shared" si="2"/>
        <v>5.8055555555550775</v>
      </c>
      <c r="AJ22" s="872">
        <f t="shared" si="2"/>
        <v>6.650000000000821</v>
      </c>
      <c r="AK22" s="872">
        <f t="shared" si="2"/>
        <v>7.1777777777775142</v>
      </c>
    </row>
    <row r="23" spans="1:37" ht="13.5" thickBot="1">
      <c r="A23" s="868"/>
      <c r="B23" s="868"/>
      <c r="C23" s="868"/>
      <c r="D23" s="873">
        <f t="shared" si="3"/>
        <v>5.5555555555555532E-2</v>
      </c>
      <c r="E23" s="872">
        <f t="shared" si="5"/>
        <v>15.555555555557255</v>
      </c>
      <c r="F23" s="872">
        <f t="shared" si="5"/>
        <v>16.444444444445594</v>
      </c>
      <c r="G23" s="872">
        <f t="shared" si="5"/>
        <v>16.999999999999886</v>
      </c>
      <c r="H23" s="872">
        <f t="shared" si="5"/>
        <v>14.444444444442787</v>
      </c>
      <c r="I23" s="872">
        <f t="shared" si="5"/>
        <v>15.33333333333165</v>
      </c>
      <c r="J23" s="872">
        <f t="shared" si="5"/>
        <v>15.888888888888012</v>
      </c>
      <c r="K23" s="872">
        <f t="shared" si="5"/>
        <v>13.333333333334558</v>
      </c>
      <c r="L23" s="872">
        <f t="shared" si="5"/>
        <v>14.222222222222998</v>
      </c>
      <c r="M23" s="872">
        <f t="shared" si="5"/>
        <v>14.777777777779068</v>
      </c>
      <c r="N23" s="872">
        <f t="shared" si="5"/>
        <v>10</v>
      </c>
      <c r="O23" s="872">
        <f t="shared" si="5"/>
        <v>10.888888888887223</v>
      </c>
      <c r="P23" s="872">
        <f t="shared" si="5"/>
        <v>11.44444444444423</v>
      </c>
      <c r="Q23" s="872">
        <f t="shared" si="5"/>
        <v>9.4444444444431213</v>
      </c>
      <c r="R23" s="872">
        <f t="shared" si="5"/>
        <v>10.333333333332044</v>
      </c>
      <c r="S23" s="872">
        <f t="shared" si="5"/>
        <v>10.888888888887223</v>
      </c>
      <c r="T23" s="872">
        <f t="shared" si="4"/>
        <v>8.8888888888883866</v>
      </c>
      <c r="U23" s="872">
        <f t="shared" si="4"/>
        <v>9.7777777777781107</v>
      </c>
      <c r="V23" s="872">
        <f t="shared" si="4"/>
        <v>10.333333333332044</v>
      </c>
      <c r="W23" s="872">
        <f t="shared" si="4"/>
        <v>8.3333333333332451</v>
      </c>
      <c r="X23" s="872">
        <f t="shared" si="4"/>
        <v>9.2222222222229302</v>
      </c>
      <c r="Y23" s="872">
        <f t="shared" si="4"/>
        <v>9.7777777777781107</v>
      </c>
      <c r="Z23" s="872">
        <f t="shared" si="4"/>
        <v>7.7777777777786277</v>
      </c>
      <c r="AA23" s="872">
        <f t="shared" si="4"/>
        <v>8.6666666666660959</v>
      </c>
      <c r="AB23" s="872">
        <f t="shared" si="4"/>
        <v>9.2222222222229302</v>
      </c>
      <c r="AC23" s="872">
        <f t="shared" si="4"/>
        <v>7.2222222222213937</v>
      </c>
      <c r="AD23" s="872">
        <f t="shared" si="4"/>
        <v>8.1111111111111107</v>
      </c>
      <c r="AE23" s="872">
        <f t="shared" si="2"/>
        <v>8.6666666666660959</v>
      </c>
      <c r="AF23" s="872">
        <f t="shared" si="2"/>
        <v>6.6666666666672789</v>
      </c>
      <c r="AG23" s="872">
        <f t="shared" si="2"/>
        <v>7.5555555555552925</v>
      </c>
      <c r="AH23" s="872">
        <f t="shared" si="2"/>
        <v>8.1111111111111107</v>
      </c>
      <c r="AI23" s="872">
        <f t="shared" si="2"/>
        <v>6.1111111111106329</v>
      </c>
      <c r="AJ23" s="872">
        <f t="shared" si="2"/>
        <v>7.0000000000008207</v>
      </c>
      <c r="AK23" s="872">
        <f t="shared" si="2"/>
        <v>7.5555555555552925</v>
      </c>
    </row>
    <row r="24" spans="1:37" ht="13.5" thickBot="1">
      <c r="A24" s="868"/>
      <c r="B24" s="868"/>
      <c r="C24" s="868"/>
      <c r="D24" s="873">
        <f t="shared" si="3"/>
        <v>5.8333333333333307E-2</v>
      </c>
      <c r="E24" s="872">
        <f t="shared" si="5"/>
        <v>16.333333333335034</v>
      </c>
      <c r="F24" s="872">
        <f t="shared" si="5"/>
        <v>17.266666666667817</v>
      </c>
      <c r="G24" s="872">
        <f t="shared" si="5"/>
        <v>17.849999999999888</v>
      </c>
      <c r="H24" s="872">
        <f t="shared" si="5"/>
        <v>15.166666666665009</v>
      </c>
      <c r="I24" s="872">
        <f t="shared" si="5"/>
        <v>16.099999999998317</v>
      </c>
      <c r="J24" s="872">
        <f t="shared" si="5"/>
        <v>16.683333333332456</v>
      </c>
      <c r="K24" s="872">
        <f t="shared" si="5"/>
        <v>14.000000000001224</v>
      </c>
      <c r="L24" s="872">
        <f t="shared" si="5"/>
        <v>14.933333333334108</v>
      </c>
      <c r="M24" s="872">
        <f t="shared" si="5"/>
        <v>15.516666666667957</v>
      </c>
      <c r="N24" s="872">
        <f t="shared" si="5"/>
        <v>10.5</v>
      </c>
      <c r="O24" s="872">
        <f t="shared" si="5"/>
        <v>11.433333333331667</v>
      </c>
      <c r="P24" s="872">
        <f t="shared" si="5"/>
        <v>12.016666666666453</v>
      </c>
      <c r="Q24" s="872">
        <f t="shared" si="5"/>
        <v>9.9166666666653427</v>
      </c>
      <c r="R24" s="872">
        <f t="shared" si="5"/>
        <v>10.849999999998712</v>
      </c>
      <c r="S24" s="872">
        <f t="shared" si="5"/>
        <v>11.433333333331667</v>
      </c>
      <c r="T24" s="872">
        <f t="shared" si="4"/>
        <v>9.3333333333328312</v>
      </c>
      <c r="U24" s="872">
        <f t="shared" si="4"/>
        <v>10.266666666667</v>
      </c>
      <c r="V24" s="872">
        <f t="shared" si="4"/>
        <v>10.849999999998712</v>
      </c>
      <c r="W24" s="872">
        <f t="shared" si="4"/>
        <v>8.7499999999999112</v>
      </c>
      <c r="X24" s="872">
        <f t="shared" si="4"/>
        <v>9.6833333333340406</v>
      </c>
      <c r="Y24" s="872">
        <f t="shared" si="4"/>
        <v>10.266666666667</v>
      </c>
      <c r="Z24" s="872">
        <f t="shared" si="4"/>
        <v>8.1666666666675169</v>
      </c>
      <c r="AA24" s="872">
        <f t="shared" si="4"/>
        <v>9.0999999999994294</v>
      </c>
      <c r="AB24" s="872">
        <f t="shared" si="4"/>
        <v>9.6833333333340406</v>
      </c>
      <c r="AC24" s="872">
        <f t="shared" si="4"/>
        <v>7.5833333333325044</v>
      </c>
      <c r="AD24" s="872">
        <f t="shared" si="4"/>
        <v>8.5166666666666657</v>
      </c>
      <c r="AE24" s="872">
        <f t="shared" si="2"/>
        <v>9.0999999999994294</v>
      </c>
      <c r="AF24" s="872">
        <f t="shared" si="2"/>
        <v>7.000000000000612</v>
      </c>
      <c r="AG24" s="872">
        <f t="shared" si="2"/>
        <v>7.9333333333330707</v>
      </c>
      <c r="AH24" s="872">
        <f t="shared" si="2"/>
        <v>8.5166666666666657</v>
      </c>
      <c r="AI24" s="872">
        <f t="shared" si="2"/>
        <v>6.4166666666661882</v>
      </c>
      <c r="AJ24" s="872">
        <f t="shared" si="2"/>
        <v>7.3500000000008203</v>
      </c>
      <c r="AK24" s="872">
        <f t="shared" si="2"/>
        <v>7.9333333333330707</v>
      </c>
    </row>
    <row r="25" spans="1:37" ht="13.5" thickBot="1">
      <c r="A25" s="868"/>
      <c r="B25" s="868"/>
      <c r="C25" s="868"/>
      <c r="D25" s="873">
        <f t="shared" si="3"/>
        <v>6.1111111111111081E-2</v>
      </c>
      <c r="E25" s="872">
        <f t="shared" si="5"/>
        <v>17.111111111112812</v>
      </c>
      <c r="F25" s="872">
        <f t="shared" si="5"/>
        <v>18.08888888889004</v>
      </c>
      <c r="G25" s="872">
        <f t="shared" si="5"/>
        <v>18.699999999999889</v>
      </c>
      <c r="H25" s="872">
        <f t="shared" si="5"/>
        <v>15.88888888888723</v>
      </c>
      <c r="I25" s="872">
        <f t="shared" si="5"/>
        <v>16.866666666664983</v>
      </c>
      <c r="J25" s="872">
        <f t="shared" si="5"/>
        <v>17.4777777777769</v>
      </c>
      <c r="K25" s="872">
        <f t="shared" si="5"/>
        <v>14.66666666666789</v>
      </c>
      <c r="L25" s="872">
        <f t="shared" si="5"/>
        <v>15.644444444445218</v>
      </c>
      <c r="M25" s="872">
        <f t="shared" si="5"/>
        <v>16.255555555556846</v>
      </c>
      <c r="N25" s="872">
        <f t="shared" si="5"/>
        <v>11</v>
      </c>
      <c r="O25" s="872">
        <f t="shared" si="5"/>
        <v>11.977777777776112</v>
      </c>
      <c r="P25" s="872">
        <f t="shared" si="5"/>
        <v>12.588888888888675</v>
      </c>
      <c r="Q25" s="872">
        <f t="shared" si="5"/>
        <v>10.388888888887564</v>
      </c>
      <c r="R25" s="872">
        <f t="shared" si="5"/>
        <v>11.366666666665379</v>
      </c>
      <c r="S25" s="872">
        <f t="shared" si="5"/>
        <v>11.977777777776112</v>
      </c>
      <c r="T25" s="872">
        <f t="shared" si="4"/>
        <v>9.7777777777772759</v>
      </c>
      <c r="U25" s="872">
        <f t="shared" si="4"/>
        <v>10.755555555555889</v>
      </c>
      <c r="V25" s="872">
        <f t="shared" si="4"/>
        <v>11.366666666665379</v>
      </c>
      <c r="W25" s="872">
        <f t="shared" si="4"/>
        <v>9.1666666666665773</v>
      </c>
      <c r="X25" s="872">
        <f t="shared" si="4"/>
        <v>10.144444444445151</v>
      </c>
      <c r="Y25" s="872">
        <f t="shared" si="4"/>
        <v>10.755555555555889</v>
      </c>
      <c r="Z25" s="872">
        <f t="shared" si="4"/>
        <v>8.5555555555564062</v>
      </c>
      <c r="AA25" s="872">
        <f t="shared" si="4"/>
        <v>9.533333333332763</v>
      </c>
      <c r="AB25" s="872">
        <f t="shared" si="4"/>
        <v>10.144444444445151</v>
      </c>
      <c r="AC25" s="872">
        <f t="shared" si="4"/>
        <v>7.9444444444436151</v>
      </c>
      <c r="AD25" s="872">
        <f t="shared" si="4"/>
        <v>8.9222222222222207</v>
      </c>
      <c r="AE25" s="872">
        <f t="shared" si="2"/>
        <v>9.533333333332763</v>
      </c>
      <c r="AF25" s="872">
        <f t="shared" si="2"/>
        <v>7.333333333333945</v>
      </c>
      <c r="AG25" s="872">
        <f t="shared" si="2"/>
        <v>8.3111111111108489</v>
      </c>
      <c r="AH25" s="872">
        <f t="shared" si="2"/>
        <v>8.9222222222222207</v>
      </c>
      <c r="AI25" s="872">
        <f t="shared" si="2"/>
        <v>6.7222222222217436</v>
      </c>
      <c r="AJ25" s="872">
        <f t="shared" si="2"/>
        <v>7.70000000000082</v>
      </c>
      <c r="AK25" s="872">
        <f t="shared" si="2"/>
        <v>8.3111111111108489</v>
      </c>
    </row>
    <row r="26" spans="1:37" ht="13.5" thickBot="1">
      <c r="A26" s="868"/>
      <c r="B26" s="868"/>
      <c r="C26" s="868"/>
      <c r="D26" s="873">
        <f t="shared" si="3"/>
        <v>6.3888888888888856E-2</v>
      </c>
      <c r="E26" s="872">
        <f t="shared" si="5"/>
        <v>17.888888888890591</v>
      </c>
      <c r="F26" s="872">
        <f t="shared" si="5"/>
        <v>18.911111111112263</v>
      </c>
      <c r="G26" s="872">
        <f t="shared" si="5"/>
        <v>19.549999999999891</v>
      </c>
      <c r="H26" s="872">
        <f t="shared" si="5"/>
        <v>16.611111111109452</v>
      </c>
      <c r="I26" s="872">
        <f t="shared" si="5"/>
        <v>17.633333333331649</v>
      </c>
      <c r="J26" s="872">
        <f t="shared" si="5"/>
        <v>18.272222222221345</v>
      </c>
      <c r="K26" s="872">
        <f t="shared" si="5"/>
        <v>15.333333333334556</v>
      </c>
      <c r="L26" s="872">
        <f t="shared" si="5"/>
        <v>16.355555555556329</v>
      </c>
      <c r="M26" s="872">
        <f t="shared" si="5"/>
        <v>16.994444444445733</v>
      </c>
      <c r="N26" s="872">
        <f t="shared" si="5"/>
        <v>11.5</v>
      </c>
      <c r="O26" s="872">
        <f t="shared" si="5"/>
        <v>12.522222222220556</v>
      </c>
      <c r="P26" s="872">
        <f t="shared" si="5"/>
        <v>13.161111111110898</v>
      </c>
      <c r="Q26" s="872">
        <f t="shared" si="5"/>
        <v>10.861111111109786</v>
      </c>
      <c r="R26" s="872">
        <f t="shared" si="5"/>
        <v>11.883333333332047</v>
      </c>
      <c r="S26" s="872">
        <f t="shared" si="5"/>
        <v>12.522222222220556</v>
      </c>
      <c r="T26" s="872">
        <f t="shared" si="4"/>
        <v>10.222222222221721</v>
      </c>
      <c r="U26" s="872">
        <f t="shared" si="4"/>
        <v>11.244444444444778</v>
      </c>
      <c r="V26" s="872">
        <f t="shared" si="4"/>
        <v>11.883333333332047</v>
      </c>
      <c r="W26" s="872">
        <f t="shared" si="4"/>
        <v>9.5833333333332433</v>
      </c>
      <c r="X26" s="872">
        <f t="shared" si="4"/>
        <v>10.605555555556261</v>
      </c>
      <c r="Y26" s="872">
        <f t="shared" si="4"/>
        <v>11.244444444444778</v>
      </c>
      <c r="Z26" s="872">
        <f t="shared" si="4"/>
        <v>8.9444444444452955</v>
      </c>
      <c r="AA26" s="872">
        <f t="shared" si="4"/>
        <v>9.9666666666660966</v>
      </c>
      <c r="AB26" s="872">
        <f t="shared" si="4"/>
        <v>10.605555555556261</v>
      </c>
      <c r="AC26" s="872">
        <f t="shared" si="4"/>
        <v>8.3055555555547258</v>
      </c>
      <c r="AD26" s="872">
        <f t="shared" si="4"/>
        <v>9.3277777777777757</v>
      </c>
      <c r="AE26" s="872">
        <f t="shared" si="2"/>
        <v>9.9666666666660966</v>
      </c>
      <c r="AF26" s="872">
        <f t="shared" si="2"/>
        <v>7.666666666667278</v>
      </c>
      <c r="AG26" s="872">
        <f t="shared" si="2"/>
        <v>8.6888888888886271</v>
      </c>
      <c r="AH26" s="872">
        <f t="shared" si="2"/>
        <v>9.3277777777777757</v>
      </c>
      <c r="AI26" s="872">
        <f t="shared" si="2"/>
        <v>7.027777777777299</v>
      </c>
      <c r="AJ26" s="872">
        <f t="shared" si="2"/>
        <v>8.0500000000008196</v>
      </c>
      <c r="AK26" s="872">
        <f t="shared" si="2"/>
        <v>8.6888888888886271</v>
      </c>
    </row>
    <row r="27" spans="1:37" ht="13.5" thickBot="1">
      <c r="A27" s="868"/>
      <c r="B27" s="868"/>
      <c r="C27" s="868"/>
      <c r="D27" s="873">
        <f t="shared" si="3"/>
        <v>6.6666666666666638E-2</v>
      </c>
      <c r="E27" s="872">
        <f t="shared" si="5"/>
        <v>18.66666666666837</v>
      </c>
      <c r="F27" s="872">
        <f t="shared" si="5"/>
        <v>19.733333333334485</v>
      </c>
      <c r="G27" s="872">
        <f t="shared" si="5"/>
        <v>20.399999999999892</v>
      </c>
      <c r="H27" s="872">
        <f t="shared" si="5"/>
        <v>17.333333333331673</v>
      </c>
      <c r="I27" s="872">
        <f t="shared" si="5"/>
        <v>18.399999999998315</v>
      </c>
      <c r="J27" s="872">
        <f t="shared" si="5"/>
        <v>19.066666666665789</v>
      </c>
      <c r="K27" s="872">
        <f t="shared" si="5"/>
        <v>16.000000000001222</v>
      </c>
      <c r="L27" s="872">
        <f t="shared" si="5"/>
        <v>17.066666666667441</v>
      </c>
      <c r="M27" s="872">
        <f t="shared" si="5"/>
        <v>17.73333333333462</v>
      </c>
      <c r="N27" s="872">
        <f t="shared" si="5"/>
        <v>12</v>
      </c>
      <c r="O27" s="872">
        <f t="shared" si="5"/>
        <v>13.066666666665</v>
      </c>
      <c r="P27" s="872">
        <f t="shared" si="5"/>
        <v>13.733333333333121</v>
      </c>
      <c r="Q27" s="872">
        <f t="shared" si="5"/>
        <v>11.333333333332007</v>
      </c>
      <c r="R27" s="872">
        <f t="shared" si="5"/>
        <v>12.399999999998714</v>
      </c>
      <c r="S27" s="872">
        <f t="shared" si="5"/>
        <v>13.066666666665</v>
      </c>
      <c r="T27" s="872">
        <f t="shared" si="4"/>
        <v>10.666666666666165</v>
      </c>
      <c r="U27" s="872">
        <f t="shared" si="4"/>
        <v>11.733333333333666</v>
      </c>
      <c r="V27" s="872">
        <f t="shared" si="4"/>
        <v>12.399999999998714</v>
      </c>
      <c r="W27" s="872">
        <f t="shared" si="4"/>
        <v>9.9999999999999094</v>
      </c>
      <c r="X27" s="872">
        <f t="shared" si="4"/>
        <v>11.066666666667372</v>
      </c>
      <c r="Y27" s="872">
        <f t="shared" si="4"/>
        <v>11.733333333333666</v>
      </c>
      <c r="Z27" s="872">
        <f t="shared" si="4"/>
        <v>9.3333333333341848</v>
      </c>
      <c r="AA27" s="872">
        <f t="shared" si="4"/>
        <v>10.39999999999943</v>
      </c>
      <c r="AB27" s="872">
        <f t="shared" si="4"/>
        <v>11.066666666667372</v>
      </c>
      <c r="AC27" s="872">
        <f t="shared" si="4"/>
        <v>8.6666666666658365</v>
      </c>
      <c r="AD27" s="872">
        <f t="shared" si="4"/>
        <v>9.7333333333333307</v>
      </c>
      <c r="AE27" s="872">
        <f t="shared" si="2"/>
        <v>10.39999999999943</v>
      </c>
      <c r="AF27" s="872">
        <f t="shared" si="2"/>
        <v>8.0000000000006111</v>
      </c>
      <c r="AG27" s="872">
        <f t="shared" si="2"/>
        <v>9.0666666666664053</v>
      </c>
      <c r="AH27" s="872">
        <f t="shared" si="2"/>
        <v>9.7333333333333307</v>
      </c>
      <c r="AI27" s="872">
        <f t="shared" si="2"/>
        <v>7.3333333333328543</v>
      </c>
      <c r="AJ27" s="872">
        <f t="shared" si="2"/>
        <v>8.4000000000008193</v>
      </c>
      <c r="AK27" s="872">
        <f t="shared" si="2"/>
        <v>9.0666666666664053</v>
      </c>
    </row>
    <row r="28" spans="1:37" ht="13.5" thickBot="1">
      <c r="A28" s="868"/>
      <c r="B28" s="868"/>
      <c r="C28" s="868"/>
      <c r="D28" s="873">
        <f t="shared" si="3"/>
        <v>6.944444444444442E-2</v>
      </c>
      <c r="E28" s="872">
        <f t="shared" si="5"/>
        <v>19.444444444446148</v>
      </c>
      <c r="F28" s="872">
        <f t="shared" si="5"/>
        <v>20.555555555556708</v>
      </c>
      <c r="G28" s="872">
        <f t="shared" si="5"/>
        <v>21.249999999999893</v>
      </c>
      <c r="H28" s="872">
        <f t="shared" si="5"/>
        <v>18.055555555553894</v>
      </c>
      <c r="I28" s="872">
        <f t="shared" si="5"/>
        <v>19.16666666666498</v>
      </c>
      <c r="J28" s="872">
        <f t="shared" si="5"/>
        <v>19.861111111110233</v>
      </c>
      <c r="K28" s="872">
        <f t="shared" si="5"/>
        <v>16.66666666666789</v>
      </c>
      <c r="L28" s="872">
        <f t="shared" si="5"/>
        <v>17.777777777778553</v>
      </c>
      <c r="M28" s="872">
        <f t="shared" si="5"/>
        <v>18.472222222223508</v>
      </c>
      <c r="N28" s="872">
        <f t="shared" si="5"/>
        <v>12.5</v>
      </c>
      <c r="O28" s="872">
        <f t="shared" si="5"/>
        <v>13.611111111109444</v>
      </c>
      <c r="P28" s="872">
        <f t="shared" si="5"/>
        <v>14.305555555555344</v>
      </c>
      <c r="Q28" s="872">
        <f t="shared" si="5"/>
        <v>11.805555555554228</v>
      </c>
      <c r="R28" s="872">
        <f t="shared" si="5"/>
        <v>12.916666666665382</v>
      </c>
      <c r="S28" s="872">
        <f t="shared" si="5"/>
        <v>13.611111111109444</v>
      </c>
      <c r="T28" s="872">
        <f t="shared" si="4"/>
        <v>11.11111111111061</v>
      </c>
      <c r="U28" s="872">
        <f t="shared" si="4"/>
        <v>12.222222222222555</v>
      </c>
      <c r="V28" s="872">
        <f t="shared" si="4"/>
        <v>12.916666666665382</v>
      </c>
      <c r="W28" s="872">
        <f t="shared" si="4"/>
        <v>10.416666666666575</v>
      </c>
      <c r="X28" s="872">
        <f t="shared" si="4"/>
        <v>11.527777777778482</v>
      </c>
      <c r="Y28" s="872">
        <f t="shared" si="4"/>
        <v>12.222222222222555</v>
      </c>
      <c r="Z28" s="872">
        <f t="shared" si="4"/>
        <v>9.7222222222230741</v>
      </c>
      <c r="AA28" s="872">
        <f t="shared" si="4"/>
        <v>10.833333333332764</v>
      </c>
      <c r="AB28" s="872">
        <f t="shared" si="4"/>
        <v>11.527777777778482</v>
      </c>
      <c r="AC28" s="872">
        <f t="shared" si="4"/>
        <v>9.0277777777769472</v>
      </c>
      <c r="AD28" s="872">
        <f t="shared" si="4"/>
        <v>10.138888888888886</v>
      </c>
      <c r="AE28" s="872">
        <f t="shared" si="2"/>
        <v>10.833333333332764</v>
      </c>
      <c r="AF28" s="872">
        <f t="shared" si="2"/>
        <v>8.333333333333945</v>
      </c>
      <c r="AG28" s="872">
        <f t="shared" si="2"/>
        <v>9.4444444444441835</v>
      </c>
      <c r="AH28" s="872">
        <f t="shared" si="2"/>
        <v>10.138888888888886</v>
      </c>
      <c r="AI28" s="872">
        <f t="shared" si="2"/>
        <v>7.6388888888884097</v>
      </c>
      <c r="AJ28" s="872">
        <f t="shared" si="2"/>
        <v>8.7500000000008189</v>
      </c>
      <c r="AK28" s="872">
        <f t="shared" si="2"/>
        <v>9.4444444444441835</v>
      </c>
    </row>
    <row r="29" spans="1:37" ht="13.5" thickBot="1">
      <c r="A29" s="868"/>
      <c r="B29" s="868"/>
      <c r="C29" s="868"/>
      <c r="D29" s="873">
        <f t="shared" si="3"/>
        <v>7.2222222222222202E-2</v>
      </c>
      <c r="E29" s="872">
        <f t="shared" si="5"/>
        <v>20.222222222223927</v>
      </c>
      <c r="F29" s="872">
        <f t="shared" si="5"/>
        <v>21.377777777778931</v>
      </c>
      <c r="G29" s="872">
        <f t="shared" si="5"/>
        <v>22.099999999999895</v>
      </c>
      <c r="H29" s="872">
        <f t="shared" si="5"/>
        <v>18.777777777776116</v>
      </c>
      <c r="I29" s="872">
        <f t="shared" si="5"/>
        <v>19.933333333331646</v>
      </c>
      <c r="J29" s="872">
        <f t="shared" si="5"/>
        <v>20.655555555554677</v>
      </c>
      <c r="K29" s="872">
        <f t="shared" si="5"/>
        <v>17.333333333334558</v>
      </c>
      <c r="L29" s="872">
        <f t="shared" si="5"/>
        <v>18.488888888889665</v>
      </c>
      <c r="M29" s="872">
        <f t="shared" si="5"/>
        <v>19.211111111112395</v>
      </c>
      <c r="N29" s="872">
        <f t="shared" si="5"/>
        <v>13</v>
      </c>
      <c r="O29" s="872">
        <f t="shared" si="5"/>
        <v>14.155555555553889</v>
      </c>
      <c r="P29" s="872">
        <f t="shared" si="5"/>
        <v>14.877777777777567</v>
      </c>
      <c r="Q29" s="872">
        <f t="shared" si="5"/>
        <v>12.27777777777645</v>
      </c>
      <c r="R29" s="872">
        <f t="shared" si="5"/>
        <v>13.433333333332049</v>
      </c>
      <c r="S29" s="872">
        <f t="shared" si="5"/>
        <v>14.155555555553889</v>
      </c>
      <c r="T29" s="872">
        <f t="shared" si="4"/>
        <v>11.555555555555054</v>
      </c>
      <c r="U29" s="872">
        <f t="shared" si="4"/>
        <v>12.711111111111444</v>
      </c>
      <c r="V29" s="872">
        <f t="shared" si="4"/>
        <v>13.433333333332049</v>
      </c>
      <c r="W29" s="872">
        <f t="shared" si="4"/>
        <v>10.833333333333242</v>
      </c>
      <c r="X29" s="872">
        <f t="shared" si="4"/>
        <v>11.988888888889592</v>
      </c>
      <c r="Y29" s="872">
        <f t="shared" si="4"/>
        <v>12.711111111111444</v>
      </c>
      <c r="Z29" s="872">
        <f t="shared" si="4"/>
        <v>10.111111111111963</v>
      </c>
      <c r="AA29" s="872">
        <f t="shared" si="4"/>
        <v>11.266666666666097</v>
      </c>
      <c r="AB29" s="872">
        <f t="shared" si="4"/>
        <v>11.988888888889592</v>
      </c>
      <c r="AC29" s="872">
        <f t="shared" si="4"/>
        <v>9.3888888888880579</v>
      </c>
      <c r="AD29" s="872">
        <f t="shared" si="4"/>
        <v>10.544444444444441</v>
      </c>
      <c r="AE29" s="872">
        <f t="shared" si="2"/>
        <v>11.266666666666097</v>
      </c>
      <c r="AF29" s="872">
        <f t="shared" si="2"/>
        <v>8.6666666666672789</v>
      </c>
      <c r="AG29" s="872">
        <f t="shared" si="2"/>
        <v>9.8222222222219617</v>
      </c>
      <c r="AH29" s="872">
        <f t="shared" si="2"/>
        <v>10.544444444444441</v>
      </c>
      <c r="AI29" s="872">
        <f t="shared" si="2"/>
        <v>7.944444444443965</v>
      </c>
      <c r="AJ29" s="872">
        <f t="shared" si="2"/>
        <v>9.1000000000008185</v>
      </c>
      <c r="AK29" s="872">
        <f t="shared" si="2"/>
        <v>9.8222222222219617</v>
      </c>
    </row>
    <row r="30" spans="1:37" ht="13.5" thickBot="1">
      <c r="A30" s="868"/>
      <c r="B30" s="868"/>
      <c r="C30" s="868"/>
      <c r="D30" s="873">
        <f t="shared" si="3"/>
        <v>7.4999999999999983E-2</v>
      </c>
      <c r="E30" s="872">
        <f t="shared" si="5"/>
        <v>21.000000000001705</v>
      </c>
      <c r="F30" s="872">
        <f t="shared" si="5"/>
        <v>22.200000000001154</v>
      </c>
      <c r="G30" s="872">
        <f t="shared" si="5"/>
        <v>22.949999999999896</v>
      </c>
      <c r="H30" s="872">
        <f t="shared" si="5"/>
        <v>19.499999999998337</v>
      </c>
      <c r="I30" s="872">
        <f t="shared" si="5"/>
        <v>20.699999999998312</v>
      </c>
      <c r="J30" s="872">
        <f t="shared" si="5"/>
        <v>21.449999999999122</v>
      </c>
      <c r="K30" s="872">
        <f t="shared" si="5"/>
        <v>18.000000000001226</v>
      </c>
      <c r="L30" s="872">
        <f t="shared" si="5"/>
        <v>19.200000000000777</v>
      </c>
      <c r="M30" s="872">
        <f t="shared" si="5"/>
        <v>19.950000000001282</v>
      </c>
      <c r="N30" s="872">
        <f t="shared" si="5"/>
        <v>13.5</v>
      </c>
      <c r="O30" s="872">
        <f t="shared" si="5"/>
        <v>14.699999999998333</v>
      </c>
      <c r="P30" s="872">
        <f t="shared" si="5"/>
        <v>15.44999999999979</v>
      </c>
      <c r="Q30" s="872">
        <f t="shared" si="5"/>
        <v>12.749999999998671</v>
      </c>
      <c r="R30" s="872">
        <f t="shared" si="5"/>
        <v>13.949999999998717</v>
      </c>
      <c r="S30" s="872">
        <f t="shared" si="5"/>
        <v>14.699999999998333</v>
      </c>
      <c r="T30" s="872">
        <f t="shared" si="4"/>
        <v>11.999999999999499</v>
      </c>
      <c r="U30" s="872">
        <f t="shared" si="4"/>
        <v>13.200000000000333</v>
      </c>
      <c r="V30" s="872">
        <f t="shared" si="4"/>
        <v>13.949999999998717</v>
      </c>
      <c r="W30" s="872">
        <f t="shared" si="4"/>
        <v>11.249999999999908</v>
      </c>
      <c r="X30" s="872">
        <f t="shared" si="4"/>
        <v>12.450000000000703</v>
      </c>
      <c r="Y30" s="872">
        <f t="shared" si="4"/>
        <v>13.200000000000333</v>
      </c>
      <c r="Z30" s="872">
        <f t="shared" si="4"/>
        <v>10.500000000000853</v>
      </c>
      <c r="AA30" s="872">
        <f t="shared" si="4"/>
        <v>11.699999999999431</v>
      </c>
      <c r="AB30" s="872">
        <f t="shared" si="4"/>
        <v>12.450000000000703</v>
      </c>
      <c r="AC30" s="872">
        <f t="shared" si="4"/>
        <v>9.7499999999991687</v>
      </c>
      <c r="AD30" s="872">
        <f t="shared" si="4"/>
        <v>10.949999999999996</v>
      </c>
      <c r="AE30" s="872">
        <f t="shared" si="2"/>
        <v>11.699999999999431</v>
      </c>
      <c r="AF30" s="872">
        <f t="shared" si="2"/>
        <v>9.0000000000006128</v>
      </c>
      <c r="AG30" s="872">
        <f t="shared" si="2"/>
        <v>10.19999999999974</v>
      </c>
      <c r="AH30" s="872">
        <f t="shared" si="2"/>
        <v>10.949999999999996</v>
      </c>
      <c r="AI30" s="872">
        <f t="shared" si="2"/>
        <v>8.2499999999995204</v>
      </c>
      <c r="AJ30" s="872">
        <f t="shared" si="2"/>
        <v>9.4500000000008182</v>
      </c>
      <c r="AK30" s="872">
        <f t="shared" si="2"/>
        <v>10.19999999999974</v>
      </c>
    </row>
    <row r="31" spans="1:37" ht="13.5" thickBot="1">
      <c r="A31" s="868"/>
      <c r="B31" s="868"/>
      <c r="C31" s="868"/>
      <c r="D31" s="873">
        <f t="shared" si="3"/>
        <v>7.7777777777777765E-2</v>
      </c>
      <c r="E31" s="872">
        <f t="shared" si="5"/>
        <v>21.777777777779484</v>
      </c>
      <c r="F31" s="872">
        <f t="shared" si="5"/>
        <v>23.022222222223377</v>
      </c>
      <c r="G31" s="872">
        <f t="shared" si="5"/>
        <v>23.799999999999898</v>
      </c>
      <c r="H31" s="872">
        <f t="shared" si="5"/>
        <v>20.222222222220559</v>
      </c>
      <c r="I31" s="872">
        <f t="shared" si="5"/>
        <v>21.466666666664977</v>
      </c>
      <c r="J31" s="872">
        <f t="shared" si="5"/>
        <v>22.244444444443566</v>
      </c>
      <c r="K31" s="872">
        <f t="shared" si="5"/>
        <v>18.666666666667894</v>
      </c>
      <c r="L31" s="872">
        <f t="shared" si="5"/>
        <v>19.911111111111889</v>
      </c>
      <c r="M31" s="872">
        <f t="shared" si="5"/>
        <v>20.688888888890169</v>
      </c>
      <c r="N31" s="872">
        <f t="shared" si="5"/>
        <v>14</v>
      </c>
      <c r="O31" s="872">
        <f t="shared" si="5"/>
        <v>15.244444444442777</v>
      </c>
      <c r="P31" s="872">
        <f t="shared" si="5"/>
        <v>16.022222222222013</v>
      </c>
      <c r="Q31" s="872">
        <f t="shared" si="5"/>
        <v>13.222222222220893</v>
      </c>
      <c r="R31" s="872">
        <f t="shared" si="5"/>
        <v>14.466666666665384</v>
      </c>
      <c r="S31" s="872">
        <f t="shared" si="5"/>
        <v>15.244444444442777</v>
      </c>
      <c r="T31" s="872">
        <f t="shared" si="4"/>
        <v>12.444444444443944</v>
      </c>
      <c r="U31" s="872">
        <f t="shared" si="4"/>
        <v>13.688888888889222</v>
      </c>
      <c r="V31" s="872">
        <f t="shared" si="4"/>
        <v>14.466666666665384</v>
      </c>
      <c r="W31" s="872">
        <f t="shared" si="4"/>
        <v>11.666666666666574</v>
      </c>
      <c r="X31" s="872">
        <f t="shared" si="4"/>
        <v>12.911111111111813</v>
      </c>
      <c r="Y31" s="872">
        <f t="shared" si="4"/>
        <v>13.688888888889222</v>
      </c>
      <c r="Z31" s="872">
        <f t="shared" si="4"/>
        <v>10.888888888889742</v>
      </c>
      <c r="AA31" s="872">
        <f t="shared" si="4"/>
        <v>12.133333333332764</v>
      </c>
      <c r="AB31" s="872">
        <f t="shared" si="4"/>
        <v>12.911111111111813</v>
      </c>
      <c r="AC31" s="872">
        <f t="shared" si="4"/>
        <v>10.111111111110279</v>
      </c>
      <c r="AD31" s="872">
        <f t="shared" si="4"/>
        <v>11.355555555555551</v>
      </c>
      <c r="AE31" s="872">
        <f t="shared" si="2"/>
        <v>12.133333333332764</v>
      </c>
      <c r="AF31" s="872">
        <f t="shared" si="2"/>
        <v>9.3333333333339468</v>
      </c>
      <c r="AG31" s="872">
        <f t="shared" si="2"/>
        <v>10.577777777777518</v>
      </c>
      <c r="AH31" s="872">
        <f t="shared" si="2"/>
        <v>11.355555555555551</v>
      </c>
      <c r="AI31" s="872">
        <f t="shared" si="2"/>
        <v>8.5555555555550757</v>
      </c>
      <c r="AJ31" s="872">
        <f t="shared" si="2"/>
        <v>9.8000000000008178</v>
      </c>
      <c r="AK31" s="872">
        <f t="shared" si="2"/>
        <v>10.577777777777518</v>
      </c>
    </row>
    <row r="32" spans="1:37" ht="13.5" thickBot="1">
      <c r="A32" s="868"/>
      <c r="B32" s="868"/>
      <c r="C32" s="868"/>
      <c r="D32" s="873">
        <f t="shared" si="3"/>
        <v>8.0555555555555547E-2</v>
      </c>
      <c r="E32" s="872">
        <f t="shared" si="5"/>
        <v>22.555555555557262</v>
      </c>
      <c r="F32" s="872">
        <f t="shared" si="5"/>
        <v>23.8444444444456</v>
      </c>
      <c r="G32" s="872">
        <f t="shared" si="5"/>
        <v>24.649999999999899</v>
      </c>
      <c r="H32" s="872">
        <f t="shared" si="5"/>
        <v>20.94444444444278</v>
      </c>
      <c r="I32" s="872">
        <f t="shared" si="5"/>
        <v>22.233333333331643</v>
      </c>
      <c r="J32" s="872">
        <f t="shared" si="5"/>
        <v>23.03888888888801</v>
      </c>
      <c r="K32" s="872">
        <f t="shared" si="5"/>
        <v>19.333333333334561</v>
      </c>
      <c r="L32" s="872">
        <f t="shared" si="5"/>
        <v>20.622222222223002</v>
      </c>
      <c r="M32" s="872">
        <f t="shared" si="5"/>
        <v>21.427777777779056</v>
      </c>
      <c r="N32" s="872">
        <f t="shared" si="5"/>
        <v>14.5</v>
      </c>
      <c r="O32" s="872">
        <f t="shared" si="5"/>
        <v>15.788888888887222</v>
      </c>
      <c r="P32" s="872">
        <f t="shared" si="5"/>
        <v>16.594444444444235</v>
      </c>
      <c r="Q32" s="872">
        <f t="shared" si="5"/>
        <v>13.694444444443114</v>
      </c>
      <c r="R32" s="872">
        <f t="shared" si="5"/>
        <v>14.983333333332052</v>
      </c>
      <c r="S32" s="872">
        <f t="shared" si="5"/>
        <v>15.788888888887222</v>
      </c>
      <c r="T32" s="872">
        <f t="shared" si="4"/>
        <v>12.888888888888388</v>
      </c>
      <c r="U32" s="872">
        <f t="shared" si="4"/>
        <v>14.177777777778111</v>
      </c>
      <c r="V32" s="872">
        <f t="shared" si="4"/>
        <v>14.983333333332052</v>
      </c>
      <c r="W32" s="872">
        <f t="shared" si="4"/>
        <v>12.08333333333324</v>
      </c>
      <c r="X32" s="872">
        <f t="shared" si="4"/>
        <v>13.372222222222923</v>
      </c>
      <c r="Y32" s="872">
        <f t="shared" si="4"/>
        <v>14.177777777778111</v>
      </c>
      <c r="Z32" s="872">
        <f t="shared" si="4"/>
        <v>11.277777777778631</v>
      </c>
      <c r="AA32" s="872">
        <f t="shared" si="4"/>
        <v>12.566666666666098</v>
      </c>
      <c r="AB32" s="872">
        <f t="shared" si="4"/>
        <v>13.372222222222923</v>
      </c>
      <c r="AC32" s="872">
        <f t="shared" si="4"/>
        <v>10.47222222222139</v>
      </c>
      <c r="AD32" s="872">
        <f t="shared" si="4"/>
        <v>11.761111111111106</v>
      </c>
      <c r="AE32" s="872">
        <f t="shared" si="2"/>
        <v>12.566666666666098</v>
      </c>
      <c r="AF32" s="872">
        <f t="shared" si="2"/>
        <v>9.6666666666672807</v>
      </c>
      <c r="AG32" s="872">
        <f t="shared" si="2"/>
        <v>10.955555555555296</v>
      </c>
      <c r="AH32" s="872">
        <f t="shared" si="2"/>
        <v>11.761111111111106</v>
      </c>
      <c r="AI32" s="872">
        <f t="shared" si="2"/>
        <v>8.8611111111106311</v>
      </c>
      <c r="AJ32" s="872">
        <f t="shared" si="2"/>
        <v>10.150000000000817</v>
      </c>
      <c r="AK32" s="872">
        <f t="shared" si="2"/>
        <v>10.955555555555296</v>
      </c>
    </row>
    <row r="33" spans="1:37" ht="13.5" thickBot="1">
      <c r="A33" s="868"/>
      <c r="B33" s="868"/>
      <c r="C33" s="868"/>
      <c r="D33" s="873">
        <f t="shared" si="3"/>
        <v>8.3333333333333329E-2</v>
      </c>
      <c r="E33" s="872">
        <f t="shared" si="5"/>
        <v>23.333333333335041</v>
      </c>
      <c r="F33" s="872">
        <f t="shared" si="5"/>
        <v>24.666666666667822</v>
      </c>
      <c r="G33" s="872">
        <f t="shared" si="5"/>
        <v>25.499999999999901</v>
      </c>
      <c r="H33" s="872">
        <f t="shared" si="5"/>
        <v>21.666666666665002</v>
      </c>
      <c r="I33" s="872">
        <f t="shared" si="5"/>
        <v>22.999999999998309</v>
      </c>
      <c r="J33" s="872">
        <f t="shared" si="5"/>
        <v>23.833333333332455</v>
      </c>
      <c r="K33" s="872">
        <f t="shared" si="5"/>
        <v>20.000000000001229</v>
      </c>
      <c r="L33" s="872">
        <f t="shared" si="5"/>
        <v>21.333333333334114</v>
      </c>
      <c r="M33" s="872">
        <f t="shared" si="5"/>
        <v>22.166666666667943</v>
      </c>
      <c r="N33" s="872">
        <f t="shared" si="5"/>
        <v>15</v>
      </c>
      <c r="O33" s="872">
        <f t="shared" si="5"/>
        <v>16.333333333331666</v>
      </c>
      <c r="P33" s="872">
        <f t="shared" si="5"/>
        <v>17.166666666666458</v>
      </c>
      <c r="Q33" s="872">
        <f t="shared" si="5"/>
        <v>14.166666666665336</v>
      </c>
      <c r="R33" s="872">
        <f t="shared" si="5"/>
        <v>15.499999999998719</v>
      </c>
      <c r="S33" s="872">
        <f t="shared" si="5"/>
        <v>16.333333333331666</v>
      </c>
      <c r="T33" s="872">
        <f t="shared" si="4"/>
        <v>13.333333333332833</v>
      </c>
      <c r="U33" s="872">
        <f t="shared" si="4"/>
        <v>14.666666666667</v>
      </c>
      <c r="V33" s="872">
        <f t="shared" si="4"/>
        <v>15.499999999998719</v>
      </c>
      <c r="W33" s="872">
        <f t="shared" si="4"/>
        <v>12.499999999999906</v>
      </c>
      <c r="X33" s="872">
        <f t="shared" si="4"/>
        <v>13.833333333334034</v>
      </c>
      <c r="Y33" s="872">
        <f t="shared" si="4"/>
        <v>14.666666666667</v>
      </c>
      <c r="Z33" s="872">
        <f t="shared" si="4"/>
        <v>11.666666666667521</v>
      </c>
      <c r="AA33" s="872">
        <f t="shared" si="4"/>
        <v>12.999999999999432</v>
      </c>
      <c r="AB33" s="872">
        <f t="shared" si="4"/>
        <v>13.833333333334034</v>
      </c>
      <c r="AC33" s="872">
        <f t="shared" si="4"/>
        <v>10.833333333332501</v>
      </c>
      <c r="AD33" s="872">
        <f t="shared" si="4"/>
        <v>12.166666666666661</v>
      </c>
      <c r="AE33" s="872">
        <f t="shared" si="2"/>
        <v>12.999999999999432</v>
      </c>
      <c r="AF33" s="872">
        <f t="shared" si="2"/>
        <v>10.000000000000615</v>
      </c>
      <c r="AG33" s="872">
        <f t="shared" si="2"/>
        <v>11.333333333333075</v>
      </c>
      <c r="AH33" s="872">
        <f t="shared" si="2"/>
        <v>12.166666666666661</v>
      </c>
      <c r="AI33" s="872">
        <f t="shared" si="2"/>
        <v>9.1666666666661865</v>
      </c>
      <c r="AJ33" s="872">
        <f t="shared" si="2"/>
        <v>10.500000000000817</v>
      </c>
      <c r="AK33" s="872">
        <f t="shared" si="2"/>
        <v>11.333333333333075</v>
      </c>
    </row>
    <row r="34" spans="1:37" ht="13.5" thickBot="1">
      <c r="A34" s="868"/>
      <c r="B34" s="868"/>
      <c r="C34" s="868"/>
      <c r="D34" s="873">
        <f t="shared" si="3"/>
        <v>8.611111111111111E-2</v>
      </c>
      <c r="E34" s="872">
        <f t="shared" si="5"/>
        <v>24.11111111111282</v>
      </c>
      <c r="F34" s="872">
        <f t="shared" si="5"/>
        <v>25.488888888890045</v>
      </c>
      <c r="G34" s="872">
        <f t="shared" si="5"/>
        <v>26.349999999999902</v>
      </c>
      <c r="H34" s="872">
        <f t="shared" si="5"/>
        <v>22.388888888887223</v>
      </c>
      <c r="I34" s="872">
        <f t="shared" si="5"/>
        <v>23.766666666664975</v>
      </c>
      <c r="J34" s="872">
        <f t="shared" si="5"/>
        <v>24.627777777776899</v>
      </c>
      <c r="K34" s="872">
        <f t="shared" si="5"/>
        <v>20.666666666667897</v>
      </c>
      <c r="L34" s="872">
        <f t="shared" si="5"/>
        <v>22.044444444445226</v>
      </c>
      <c r="M34" s="872">
        <f t="shared" si="5"/>
        <v>22.90555555555683</v>
      </c>
      <c r="N34" s="872">
        <f t="shared" si="5"/>
        <v>15.5</v>
      </c>
      <c r="O34" s="872">
        <f t="shared" si="5"/>
        <v>16.87777777777611</v>
      </c>
      <c r="P34" s="872">
        <f t="shared" si="5"/>
        <v>17.738888888888681</v>
      </c>
      <c r="Q34" s="872">
        <f t="shared" si="5"/>
        <v>14.638888888887557</v>
      </c>
      <c r="R34" s="872">
        <f t="shared" si="5"/>
        <v>16.016666666665387</v>
      </c>
      <c r="S34" s="872">
        <f t="shared" si="5"/>
        <v>16.87777777777611</v>
      </c>
      <c r="T34" s="872">
        <f t="shared" si="4"/>
        <v>13.777777777777278</v>
      </c>
      <c r="U34" s="872">
        <f t="shared" si="4"/>
        <v>15.155555555555889</v>
      </c>
      <c r="V34" s="872">
        <f t="shared" si="4"/>
        <v>16.016666666665387</v>
      </c>
      <c r="W34" s="872">
        <f t="shared" si="4"/>
        <v>12.916666666666572</v>
      </c>
      <c r="X34" s="872">
        <f t="shared" si="4"/>
        <v>14.294444444445144</v>
      </c>
      <c r="Y34" s="872">
        <f t="shared" si="4"/>
        <v>15.155555555555889</v>
      </c>
      <c r="Z34" s="872">
        <f t="shared" si="4"/>
        <v>12.05555555555641</v>
      </c>
      <c r="AA34" s="872">
        <f t="shared" si="4"/>
        <v>13.433333333332765</v>
      </c>
      <c r="AB34" s="872">
        <f t="shared" si="4"/>
        <v>14.294444444445144</v>
      </c>
      <c r="AC34" s="872">
        <f t="shared" si="4"/>
        <v>11.194444444443612</v>
      </c>
      <c r="AD34" s="872">
        <f t="shared" si="4"/>
        <v>12.572222222222216</v>
      </c>
      <c r="AE34" s="872">
        <f t="shared" si="2"/>
        <v>13.433333333332765</v>
      </c>
      <c r="AF34" s="872">
        <f t="shared" si="2"/>
        <v>10.333333333333949</v>
      </c>
      <c r="AG34" s="872">
        <f t="shared" si="2"/>
        <v>11.711111111110853</v>
      </c>
      <c r="AH34" s="872">
        <f t="shared" si="2"/>
        <v>12.572222222222216</v>
      </c>
      <c r="AI34" s="872">
        <f t="shared" si="2"/>
        <v>9.4722222222217418</v>
      </c>
      <c r="AJ34" s="872">
        <f t="shared" si="2"/>
        <v>10.850000000000817</v>
      </c>
      <c r="AK34" s="872">
        <f t="shared" si="2"/>
        <v>11.711111111110853</v>
      </c>
    </row>
    <row r="35" spans="1:37" ht="13.5" thickBot="1">
      <c r="A35" s="868"/>
      <c r="B35" s="868"/>
      <c r="C35" s="868"/>
      <c r="D35" s="873">
        <f t="shared" si="3"/>
        <v>8.8888888888888892E-2</v>
      </c>
      <c r="E35" s="872">
        <f t="shared" si="5"/>
        <v>24.888888888890598</v>
      </c>
      <c r="F35" s="872">
        <f t="shared" si="5"/>
        <v>26.311111111112268</v>
      </c>
      <c r="G35" s="872">
        <f t="shared" si="5"/>
        <v>27.199999999999903</v>
      </c>
      <c r="H35" s="872">
        <f t="shared" si="5"/>
        <v>23.111111111109444</v>
      </c>
      <c r="I35" s="872">
        <f t="shared" si="5"/>
        <v>24.53333333333164</v>
      </c>
      <c r="J35" s="872">
        <f t="shared" si="5"/>
        <v>25.422222222221343</v>
      </c>
      <c r="K35" s="872">
        <f t="shared" si="5"/>
        <v>21.333333333334565</v>
      </c>
      <c r="L35" s="872">
        <f t="shared" si="5"/>
        <v>22.755555555556338</v>
      </c>
      <c r="M35" s="872">
        <f t="shared" si="5"/>
        <v>23.644444444445718</v>
      </c>
      <c r="N35" s="872">
        <f t="shared" si="5"/>
        <v>16</v>
      </c>
      <c r="O35" s="872">
        <f t="shared" si="5"/>
        <v>17.422222222220554</v>
      </c>
      <c r="P35" s="872">
        <f t="shared" si="5"/>
        <v>18.311111111110904</v>
      </c>
      <c r="Q35" s="872">
        <f t="shared" si="5"/>
        <v>15.111111111109778</v>
      </c>
      <c r="R35" s="872">
        <f t="shared" si="5"/>
        <v>16.533333333332052</v>
      </c>
      <c r="S35" s="872">
        <f t="shared" si="5"/>
        <v>17.422222222220554</v>
      </c>
      <c r="T35" s="872">
        <f t="shared" si="4"/>
        <v>14.222222222221722</v>
      </c>
      <c r="U35" s="872">
        <f t="shared" si="4"/>
        <v>15.644444444444778</v>
      </c>
      <c r="V35" s="872">
        <f t="shared" si="4"/>
        <v>16.533333333332052</v>
      </c>
      <c r="W35" s="872">
        <f t="shared" si="4"/>
        <v>13.333333333333238</v>
      </c>
      <c r="X35" s="872">
        <f t="shared" si="4"/>
        <v>14.755555555556255</v>
      </c>
      <c r="Y35" s="872">
        <f t="shared" si="4"/>
        <v>15.644444444444778</v>
      </c>
      <c r="Z35" s="872">
        <f t="shared" si="4"/>
        <v>12.444444444445299</v>
      </c>
      <c r="AA35" s="872">
        <f t="shared" si="4"/>
        <v>13.866666666666099</v>
      </c>
      <c r="AB35" s="872">
        <f t="shared" si="4"/>
        <v>14.755555555556255</v>
      </c>
      <c r="AC35" s="872">
        <f t="shared" si="4"/>
        <v>11.555555555554722</v>
      </c>
      <c r="AD35" s="872">
        <f t="shared" si="4"/>
        <v>12.977777777777771</v>
      </c>
      <c r="AE35" s="872">
        <f t="shared" si="2"/>
        <v>13.866666666666099</v>
      </c>
      <c r="AF35" s="872">
        <f t="shared" si="2"/>
        <v>10.666666666667282</v>
      </c>
      <c r="AG35" s="872">
        <f t="shared" si="2"/>
        <v>12.088888888888631</v>
      </c>
      <c r="AH35" s="872">
        <f t="shared" si="2"/>
        <v>12.977777777777771</v>
      </c>
      <c r="AI35" s="872">
        <f t="shared" si="2"/>
        <v>9.7777777777772972</v>
      </c>
      <c r="AJ35" s="872">
        <f t="shared" si="2"/>
        <v>11.200000000000816</v>
      </c>
      <c r="AK35" s="872">
        <f t="shared" si="2"/>
        <v>12.088888888888631</v>
      </c>
    </row>
    <row r="36" spans="1:37" ht="13.5" thickBot="1">
      <c r="A36" s="868"/>
      <c r="B36" s="868"/>
      <c r="C36" s="868"/>
      <c r="D36" s="873">
        <f t="shared" si="3"/>
        <v>9.1666666666666674E-2</v>
      </c>
      <c r="E36" s="872">
        <f t="shared" ref="E36:T52" si="6">E37-(E$363/360)</f>
        <v>25.666666666668377</v>
      </c>
      <c r="F36" s="872">
        <f t="shared" si="6"/>
        <v>27.133333333334491</v>
      </c>
      <c r="G36" s="872">
        <f t="shared" si="6"/>
        <v>28.049999999999905</v>
      </c>
      <c r="H36" s="872">
        <f t="shared" si="6"/>
        <v>23.833333333331666</v>
      </c>
      <c r="I36" s="872">
        <f t="shared" si="6"/>
        <v>25.299999999998306</v>
      </c>
      <c r="J36" s="872">
        <f t="shared" si="6"/>
        <v>26.216666666665787</v>
      </c>
      <c r="K36" s="872">
        <f t="shared" si="6"/>
        <v>22.000000000001233</v>
      </c>
      <c r="L36" s="872">
        <f t="shared" si="6"/>
        <v>23.46666666666745</v>
      </c>
      <c r="M36" s="872">
        <f t="shared" si="6"/>
        <v>24.383333333334605</v>
      </c>
      <c r="N36" s="872">
        <f t="shared" si="6"/>
        <v>16.5</v>
      </c>
      <c r="O36" s="872">
        <f t="shared" si="6"/>
        <v>17.966666666664999</v>
      </c>
      <c r="P36" s="872">
        <f t="shared" si="6"/>
        <v>18.883333333333127</v>
      </c>
      <c r="Q36" s="872">
        <f t="shared" si="6"/>
        <v>15.583333333332</v>
      </c>
      <c r="R36" s="872">
        <f t="shared" si="6"/>
        <v>17.049999999998718</v>
      </c>
      <c r="S36" s="872">
        <f t="shared" si="6"/>
        <v>17.966666666664999</v>
      </c>
      <c r="T36" s="872">
        <f t="shared" si="4"/>
        <v>14.666666666666167</v>
      </c>
      <c r="U36" s="872">
        <f t="shared" si="4"/>
        <v>16.133333333333667</v>
      </c>
      <c r="V36" s="872">
        <f t="shared" si="4"/>
        <v>17.049999999998718</v>
      </c>
      <c r="W36" s="872">
        <f t="shared" si="4"/>
        <v>13.749999999999904</v>
      </c>
      <c r="X36" s="872">
        <f t="shared" si="4"/>
        <v>15.216666666667365</v>
      </c>
      <c r="Y36" s="872">
        <f t="shared" si="4"/>
        <v>16.133333333333667</v>
      </c>
      <c r="Z36" s="872">
        <f t="shared" si="4"/>
        <v>12.833333333334188</v>
      </c>
      <c r="AA36" s="872">
        <f t="shared" si="4"/>
        <v>14.299999999999432</v>
      </c>
      <c r="AB36" s="872">
        <f t="shared" si="4"/>
        <v>15.216666666667365</v>
      </c>
      <c r="AC36" s="872">
        <f t="shared" si="4"/>
        <v>11.916666666665833</v>
      </c>
      <c r="AD36" s="872">
        <f t="shared" si="4"/>
        <v>13.383333333333326</v>
      </c>
      <c r="AE36" s="872">
        <f t="shared" si="2"/>
        <v>14.299999999999432</v>
      </c>
      <c r="AF36" s="872">
        <f t="shared" si="2"/>
        <v>11.000000000000616</v>
      </c>
      <c r="AG36" s="872">
        <f t="shared" si="2"/>
        <v>12.466666666666409</v>
      </c>
      <c r="AH36" s="872">
        <f t="shared" si="2"/>
        <v>13.383333333333326</v>
      </c>
      <c r="AI36" s="872">
        <f t="shared" si="2"/>
        <v>10.083333333332853</v>
      </c>
      <c r="AJ36" s="872">
        <f t="shared" si="2"/>
        <v>11.550000000000816</v>
      </c>
      <c r="AK36" s="872">
        <f t="shared" si="2"/>
        <v>12.466666666666409</v>
      </c>
    </row>
    <row r="37" spans="1:37" ht="13.5" thickBot="1">
      <c r="A37" s="868"/>
      <c r="B37" s="868"/>
      <c r="C37" s="868"/>
      <c r="D37" s="873">
        <f t="shared" si="3"/>
        <v>9.4444444444444456E-2</v>
      </c>
      <c r="E37" s="872">
        <f t="shared" si="6"/>
        <v>26.444444444446155</v>
      </c>
      <c r="F37" s="872">
        <f t="shared" si="6"/>
        <v>27.955555555556714</v>
      </c>
      <c r="G37" s="872">
        <f t="shared" si="6"/>
        <v>28.899999999999906</v>
      </c>
      <c r="H37" s="872">
        <f t="shared" si="6"/>
        <v>24.555555555553887</v>
      </c>
      <c r="I37" s="872">
        <f t="shared" si="6"/>
        <v>26.066666666664972</v>
      </c>
      <c r="J37" s="872">
        <f t="shared" si="6"/>
        <v>27.011111111110232</v>
      </c>
      <c r="K37" s="872">
        <f t="shared" si="6"/>
        <v>22.666666666667901</v>
      </c>
      <c r="L37" s="872">
        <f t="shared" si="6"/>
        <v>24.177777777778562</v>
      </c>
      <c r="M37" s="872">
        <f t="shared" si="6"/>
        <v>25.122222222223492</v>
      </c>
      <c r="N37" s="872">
        <f t="shared" si="6"/>
        <v>17</v>
      </c>
      <c r="O37" s="872">
        <f t="shared" si="6"/>
        <v>18.511111111109443</v>
      </c>
      <c r="P37" s="872">
        <f t="shared" si="6"/>
        <v>19.45555555555535</v>
      </c>
      <c r="Q37" s="872">
        <f t="shared" si="6"/>
        <v>16.055555555554221</v>
      </c>
      <c r="R37" s="872">
        <f t="shared" si="6"/>
        <v>17.566666666665384</v>
      </c>
      <c r="S37" s="872">
        <f t="shared" si="6"/>
        <v>18.511111111109443</v>
      </c>
      <c r="T37" s="872">
        <f t="shared" si="4"/>
        <v>15.111111111110612</v>
      </c>
      <c r="U37" s="872">
        <f t="shared" si="4"/>
        <v>16.622222222222554</v>
      </c>
      <c r="V37" s="872">
        <f t="shared" si="4"/>
        <v>17.566666666665384</v>
      </c>
      <c r="W37" s="872">
        <f t="shared" si="4"/>
        <v>14.16666666666657</v>
      </c>
      <c r="X37" s="872">
        <f t="shared" si="4"/>
        <v>15.677777777778475</v>
      </c>
      <c r="Y37" s="872">
        <f t="shared" si="4"/>
        <v>16.622222222222554</v>
      </c>
      <c r="Z37" s="872">
        <f t="shared" si="4"/>
        <v>13.222222222223078</v>
      </c>
      <c r="AA37" s="872">
        <f t="shared" si="4"/>
        <v>14.733333333332766</v>
      </c>
      <c r="AB37" s="872">
        <f t="shared" si="4"/>
        <v>15.677777777778475</v>
      </c>
      <c r="AC37" s="872">
        <f t="shared" si="4"/>
        <v>12.277777777776944</v>
      </c>
      <c r="AD37" s="872">
        <f t="shared" si="4"/>
        <v>13.788888888888881</v>
      </c>
      <c r="AE37" s="872">
        <f t="shared" si="2"/>
        <v>14.733333333332766</v>
      </c>
      <c r="AF37" s="872">
        <f t="shared" si="2"/>
        <v>11.33333333333395</v>
      </c>
      <c r="AG37" s="872">
        <f t="shared" si="2"/>
        <v>12.844444444444187</v>
      </c>
      <c r="AH37" s="872">
        <f t="shared" si="2"/>
        <v>13.788888888888881</v>
      </c>
      <c r="AI37" s="872">
        <f t="shared" si="2"/>
        <v>10.388888888888408</v>
      </c>
      <c r="AJ37" s="872">
        <f t="shared" si="2"/>
        <v>11.900000000000816</v>
      </c>
      <c r="AK37" s="872">
        <f t="shared" si="2"/>
        <v>12.844444444444187</v>
      </c>
    </row>
    <row r="38" spans="1:37" ht="13.5" thickBot="1">
      <c r="A38" s="868"/>
      <c r="B38" s="868"/>
      <c r="C38" s="868"/>
      <c r="D38" s="873">
        <f t="shared" si="3"/>
        <v>9.7222222222222238E-2</v>
      </c>
      <c r="E38" s="872">
        <f t="shared" si="6"/>
        <v>27.222222222223934</v>
      </c>
      <c r="F38" s="872">
        <f t="shared" si="6"/>
        <v>28.777777777778937</v>
      </c>
      <c r="G38" s="872">
        <f t="shared" si="6"/>
        <v>29.749999999999908</v>
      </c>
      <c r="H38" s="872">
        <f t="shared" si="6"/>
        <v>25.277777777776109</v>
      </c>
      <c r="I38" s="872">
        <f t="shared" si="6"/>
        <v>26.833333333331638</v>
      </c>
      <c r="J38" s="872">
        <f t="shared" si="6"/>
        <v>27.805555555554676</v>
      </c>
      <c r="K38" s="872">
        <f t="shared" si="6"/>
        <v>23.333333333334568</v>
      </c>
      <c r="L38" s="872">
        <f t="shared" si="6"/>
        <v>24.888888888889674</v>
      </c>
      <c r="M38" s="872">
        <f t="shared" si="6"/>
        <v>25.861111111112379</v>
      </c>
      <c r="N38" s="872">
        <f t="shared" si="6"/>
        <v>17.5</v>
      </c>
      <c r="O38" s="872">
        <f t="shared" si="6"/>
        <v>19.055555555553887</v>
      </c>
      <c r="P38" s="872">
        <f t="shared" si="6"/>
        <v>20.027777777777573</v>
      </c>
      <c r="Q38" s="872">
        <f t="shared" si="6"/>
        <v>16.527777777776443</v>
      </c>
      <c r="R38" s="872">
        <f t="shared" si="6"/>
        <v>18.08333333333205</v>
      </c>
      <c r="S38" s="872">
        <f t="shared" si="6"/>
        <v>19.055555555553887</v>
      </c>
      <c r="T38" s="872">
        <f t="shared" si="4"/>
        <v>15.555555555555056</v>
      </c>
      <c r="U38" s="872">
        <f t="shared" si="4"/>
        <v>17.111111111111441</v>
      </c>
      <c r="V38" s="872">
        <f t="shared" si="4"/>
        <v>18.08333333333205</v>
      </c>
      <c r="W38" s="872">
        <f t="shared" si="4"/>
        <v>14.583333333333236</v>
      </c>
      <c r="X38" s="872">
        <f t="shared" si="4"/>
        <v>16.138888888889586</v>
      </c>
      <c r="Y38" s="872">
        <f t="shared" si="4"/>
        <v>17.111111111111441</v>
      </c>
      <c r="Z38" s="872">
        <f t="shared" si="4"/>
        <v>13.611111111111967</v>
      </c>
      <c r="AA38" s="872">
        <f t="shared" si="4"/>
        <v>15.166666666666099</v>
      </c>
      <c r="AB38" s="872">
        <f t="shared" si="4"/>
        <v>16.138888888889586</v>
      </c>
      <c r="AC38" s="872">
        <f t="shared" si="4"/>
        <v>12.638888888888054</v>
      </c>
      <c r="AD38" s="872">
        <f t="shared" si="4"/>
        <v>14.194444444444436</v>
      </c>
      <c r="AE38" s="872">
        <f t="shared" si="2"/>
        <v>15.166666666666099</v>
      </c>
      <c r="AF38" s="872">
        <f t="shared" si="2"/>
        <v>11.666666666667284</v>
      </c>
      <c r="AG38" s="872">
        <f t="shared" si="2"/>
        <v>13.222222222221966</v>
      </c>
      <c r="AH38" s="872">
        <f t="shared" si="2"/>
        <v>14.194444444444436</v>
      </c>
      <c r="AI38" s="872">
        <f t="shared" si="2"/>
        <v>10.694444444443963</v>
      </c>
      <c r="AJ38" s="872">
        <f t="shared" si="2"/>
        <v>12.250000000000815</v>
      </c>
      <c r="AK38" s="872">
        <f t="shared" si="2"/>
        <v>13.222222222221966</v>
      </c>
    </row>
    <row r="39" spans="1:37" ht="13.5" thickBot="1">
      <c r="A39" s="868"/>
      <c r="B39" s="868"/>
      <c r="C39" s="868"/>
      <c r="D39" s="873">
        <f t="shared" si="3"/>
        <v>0.10000000000000002</v>
      </c>
      <c r="E39" s="872">
        <f t="shared" si="6"/>
        <v>28.000000000001712</v>
      </c>
      <c r="F39" s="872">
        <f t="shared" si="6"/>
        <v>29.60000000000116</v>
      </c>
      <c r="G39" s="872">
        <f t="shared" si="6"/>
        <v>30.599999999999909</v>
      </c>
      <c r="H39" s="872">
        <f t="shared" si="6"/>
        <v>25.99999999999833</v>
      </c>
      <c r="I39" s="872">
        <f t="shared" si="6"/>
        <v>27.599999999998303</v>
      </c>
      <c r="J39" s="872">
        <f t="shared" si="6"/>
        <v>28.59999999999912</v>
      </c>
      <c r="K39" s="872">
        <f t="shared" si="6"/>
        <v>24.000000000001236</v>
      </c>
      <c r="L39" s="872">
        <f t="shared" si="6"/>
        <v>25.600000000000787</v>
      </c>
      <c r="M39" s="872">
        <f t="shared" si="6"/>
        <v>26.600000000001266</v>
      </c>
      <c r="N39" s="872">
        <f t="shared" si="6"/>
        <v>18</v>
      </c>
      <c r="O39" s="872">
        <f t="shared" si="6"/>
        <v>19.599999999998332</v>
      </c>
      <c r="P39" s="872">
        <f t="shared" si="6"/>
        <v>20.599999999999795</v>
      </c>
      <c r="Q39" s="872">
        <f t="shared" si="6"/>
        <v>16.999999999998664</v>
      </c>
      <c r="R39" s="872">
        <f t="shared" si="6"/>
        <v>18.599999999998715</v>
      </c>
      <c r="S39" s="872">
        <f t="shared" si="6"/>
        <v>19.599999999998332</v>
      </c>
      <c r="T39" s="872">
        <f t="shared" si="4"/>
        <v>15.999999999999501</v>
      </c>
      <c r="U39" s="872">
        <f t="shared" si="4"/>
        <v>17.600000000000328</v>
      </c>
      <c r="V39" s="872">
        <f t="shared" si="4"/>
        <v>18.599999999998715</v>
      </c>
      <c r="W39" s="872">
        <f t="shared" si="4"/>
        <v>14.999999999999902</v>
      </c>
      <c r="X39" s="872">
        <f t="shared" si="4"/>
        <v>16.600000000000698</v>
      </c>
      <c r="Y39" s="872">
        <f t="shared" si="4"/>
        <v>17.600000000000328</v>
      </c>
      <c r="Z39" s="872">
        <f t="shared" si="4"/>
        <v>14.000000000000856</v>
      </c>
      <c r="AA39" s="872">
        <f t="shared" si="4"/>
        <v>15.599999999999433</v>
      </c>
      <c r="AB39" s="872">
        <f t="shared" si="4"/>
        <v>16.600000000000698</v>
      </c>
      <c r="AC39" s="872">
        <f t="shared" si="4"/>
        <v>12.999999999999165</v>
      </c>
      <c r="AD39" s="872">
        <f t="shared" si="4"/>
        <v>14.599999999999991</v>
      </c>
      <c r="AE39" s="872">
        <f t="shared" si="2"/>
        <v>15.599999999999433</v>
      </c>
      <c r="AF39" s="872">
        <f t="shared" si="2"/>
        <v>12.000000000000618</v>
      </c>
      <c r="AG39" s="872">
        <f t="shared" si="2"/>
        <v>13.599999999999744</v>
      </c>
      <c r="AH39" s="872">
        <f t="shared" si="2"/>
        <v>14.599999999999991</v>
      </c>
      <c r="AI39" s="872">
        <f t="shared" si="2"/>
        <v>10.999999999999519</v>
      </c>
      <c r="AJ39" s="872">
        <f t="shared" si="2"/>
        <v>12.600000000000815</v>
      </c>
      <c r="AK39" s="872">
        <f t="shared" si="2"/>
        <v>13.599999999999744</v>
      </c>
    </row>
    <row r="40" spans="1:37" ht="13.5" thickBot="1">
      <c r="A40" s="868"/>
      <c r="B40" s="868"/>
      <c r="C40" s="868"/>
      <c r="D40" s="873">
        <f t="shared" si="3"/>
        <v>0.1027777777777778</v>
      </c>
      <c r="E40" s="872">
        <f t="shared" si="6"/>
        <v>28.777777777779491</v>
      </c>
      <c r="F40" s="872">
        <f t="shared" si="6"/>
        <v>30.422222222223382</v>
      </c>
      <c r="G40" s="872">
        <f t="shared" si="6"/>
        <v>31.44999999999991</v>
      </c>
      <c r="H40" s="872">
        <f t="shared" si="6"/>
        <v>26.722222222220552</v>
      </c>
      <c r="I40" s="872">
        <f t="shared" si="6"/>
        <v>28.366666666664969</v>
      </c>
      <c r="J40" s="872">
        <f t="shared" si="6"/>
        <v>29.394444444443565</v>
      </c>
      <c r="K40" s="872">
        <f t="shared" si="6"/>
        <v>24.666666666667904</v>
      </c>
      <c r="L40" s="872">
        <f t="shared" si="6"/>
        <v>26.311111111111899</v>
      </c>
      <c r="M40" s="872">
        <f t="shared" si="6"/>
        <v>27.338888888890153</v>
      </c>
      <c r="N40" s="872">
        <f t="shared" si="6"/>
        <v>18.5</v>
      </c>
      <c r="O40" s="872">
        <f t="shared" si="6"/>
        <v>20.144444444442776</v>
      </c>
      <c r="P40" s="872">
        <f t="shared" si="6"/>
        <v>21.172222222222018</v>
      </c>
      <c r="Q40" s="872">
        <f t="shared" si="6"/>
        <v>17.472222222220886</v>
      </c>
      <c r="R40" s="872">
        <f t="shared" si="6"/>
        <v>19.116666666665381</v>
      </c>
      <c r="S40" s="872">
        <f t="shared" si="6"/>
        <v>20.144444444442776</v>
      </c>
      <c r="T40" s="872">
        <f t="shared" si="4"/>
        <v>16.444444444443945</v>
      </c>
      <c r="U40" s="872">
        <f t="shared" si="4"/>
        <v>18.088888888889215</v>
      </c>
      <c r="V40" s="872">
        <f t="shared" si="4"/>
        <v>19.116666666665381</v>
      </c>
      <c r="W40" s="872">
        <f t="shared" si="4"/>
        <v>15.416666666666568</v>
      </c>
      <c r="X40" s="872">
        <f t="shared" si="4"/>
        <v>17.06111111111181</v>
      </c>
      <c r="Y40" s="872">
        <f t="shared" si="4"/>
        <v>18.088888888889215</v>
      </c>
      <c r="Z40" s="872">
        <f t="shared" si="4"/>
        <v>14.388888888889745</v>
      </c>
      <c r="AA40" s="872">
        <f t="shared" si="4"/>
        <v>16.033333333332767</v>
      </c>
      <c r="AB40" s="872">
        <f t="shared" si="4"/>
        <v>17.06111111111181</v>
      </c>
      <c r="AC40" s="872">
        <f t="shared" si="4"/>
        <v>13.361111111110276</v>
      </c>
      <c r="AD40" s="872">
        <f t="shared" si="4"/>
        <v>15.005555555555546</v>
      </c>
      <c r="AE40" s="872">
        <f>AE41-(AE$363/360)</f>
        <v>16.033333333332767</v>
      </c>
      <c r="AF40" s="872">
        <f>AF41-(AF$363/360)</f>
        <v>12.333333333333952</v>
      </c>
      <c r="AG40" s="872">
        <f>AG41-(AG$363/360)</f>
        <v>13.977777777777522</v>
      </c>
      <c r="AH40" s="872">
        <f>AH41-(AH$363/360)</f>
        <v>15.005555555555546</v>
      </c>
      <c r="AI40" s="872">
        <f>AI41-(AI$363/360)</f>
        <v>11.305555555555074</v>
      </c>
      <c r="AJ40" s="872">
        <f t="shared" ref="AH40:AK103" si="7">AJ41-(AJ$363/360)</f>
        <v>12.950000000000815</v>
      </c>
      <c r="AK40" s="872">
        <f t="shared" si="7"/>
        <v>13.977777777777522</v>
      </c>
    </row>
    <row r="41" spans="1:37" ht="13.5" thickBot="1">
      <c r="A41" s="868"/>
      <c r="B41" s="868"/>
      <c r="C41" s="868"/>
      <c r="D41" s="873">
        <f t="shared" si="3"/>
        <v>0.10555555555555558</v>
      </c>
      <c r="E41" s="872">
        <f t="shared" si="6"/>
        <v>29.55555555555727</v>
      </c>
      <c r="F41" s="872">
        <f t="shared" si="6"/>
        <v>31.244444444445605</v>
      </c>
      <c r="G41" s="872">
        <f t="shared" si="6"/>
        <v>32.299999999999912</v>
      </c>
      <c r="H41" s="872">
        <f t="shared" si="6"/>
        <v>27.444444444442773</v>
      </c>
      <c r="I41" s="872">
        <f t="shared" si="6"/>
        <v>29.133333333331635</v>
      </c>
      <c r="J41" s="872">
        <f t="shared" si="6"/>
        <v>30.188888888888009</v>
      </c>
      <c r="K41" s="872">
        <f t="shared" si="6"/>
        <v>25.333333333334572</v>
      </c>
      <c r="L41" s="872">
        <f t="shared" si="6"/>
        <v>27.022222222223011</v>
      </c>
      <c r="M41" s="872">
        <f t="shared" si="6"/>
        <v>28.07777777777904</v>
      </c>
      <c r="N41" s="872">
        <f t="shared" si="6"/>
        <v>19</v>
      </c>
      <c r="O41" s="872">
        <f t="shared" si="6"/>
        <v>20.68888888888722</v>
      </c>
      <c r="P41" s="872">
        <f t="shared" si="6"/>
        <v>21.744444444444241</v>
      </c>
      <c r="Q41" s="872">
        <f t="shared" si="6"/>
        <v>17.944444444443107</v>
      </c>
      <c r="R41" s="872">
        <f t="shared" si="6"/>
        <v>19.633333333332047</v>
      </c>
      <c r="S41" s="872">
        <f t="shared" si="6"/>
        <v>20.68888888888722</v>
      </c>
      <c r="T41" s="872">
        <f t="shared" si="4"/>
        <v>16.888888888888388</v>
      </c>
      <c r="U41" s="872">
        <f t="shared" si="4"/>
        <v>18.577777777778103</v>
      </c>
      <c r="V41" s="872">
        <f t="shared" si="4"/>
        <v>19.633333333332047</v>
      </c>
      <c r="W41" s="872">
        <f t="shared" si="4"/>
        <v>15.833333333333234</v>
      </c>
      <c r="X41" s="872">
        <f t="shared" si="4"/>
        <v>17.522222222222922</v>
      </c>
      <c r="Y41" s="872">
        <f t="shared" si="4"/>
        <v>18.577777777778103</v>
      </c>
      <c r="Z41" s="872">
        <f t="shared" si="4"/>
        <v>14.777777777778635</v>
      </c>
      <c r="AA41" s="872">
        <f t="shared" si="4"/>
        <v>16.4666666666661</v>
      </c>
      <c r="AB41" s="872">
        <f t="shared" si="4"/>
        <v>17.522222222222922</v>
      </c>
      <c r="AC41" s="872">
        <f t="shared" si="4"/>
        <v>13.722222222221387</v>
      </c>
      <c r="AD41" s="872">
        <f t="shared" si="4"/>
        <v>15.411111111111101</v>
      </c>
      <c r="AE41" s="872">
        <f t="shared" si="4"/>
        <v>16.4666666666661</v>
      </c>
      <c r="AF41" s="872">
        <f t="shared" ref="AA41:AG77" si="8">AF42-(AF$363/360)</f>
        <v>12.666666666667286</v>
      </c>
      <c r="AG41" s="872">
        <f t="shared" si="8"/>
        <v>14.3555555555553</v>
      </c>
      <c r="AH41" s="872">
        <f t="shared" si="7"/>
        <v>15.411111111111101</v>
      </c>
      <c r="AI41" s="872">
        <f t="shared" si="7"/>
        <v>11.611111111110629</v>
      </c>
      <c r="AJ41" s="872">
        <f t="shared" si="7"/>
        <v>13.300000000000814</v>
      </c>
      <c r="AK41" s="872">
        <f t="shared" si="7"/>
        <v>14.3555555555553</v>
      </c>
    </row>
    <row r="42" spans="1:37" ht="13.5" thickBot="1">
      <c r="A42" s="868"/>
      <c r="B42" s="868"/>
      <c r="C42" s="868"/>
      <c r="D42" s="873">
        <f t="shared" si="3"/>
        <v>0.10833333333333336</v>
      </c>
      <c r="E42" s="872">
        <f t="shared" si="6"/>
        <v>30.333333333335048</v>
      </c>
      <c r="F42" s="872">
        <f t="shared" si="6"/>
        <v>32.066666666667828</v>
      </c>
      <c r="G42" s="872">
        <f t="shared" si="6"/>
        <v>33.149999999999913</v>
      </c>
      <c r="H42" s="872">
        <f t="shared" si="6"/>
        <v>28.166666666664995</v>
      </c>
      <c r="I42" s="872">
        <f t="shared" si="6"/>
        <v>29.8999999999983</v>
      </c>
      <c r="J42" s="872">
        <f t="shared" si="6"/>
        <v>30.983333333332453</v>
      </c>
      <c r="K42" s="872">
        <f t="shared" si="6"/>
        <v>26.00000000000124</v>
      </c>
      <c r="L42" s="872">
        <f t="shared" si="6"/>
        <v>27.733333333334123</v>
      </c>
      <c r="M42" s="872">
        <f t="shared" si="6"/>
        <v>28.816666666667928</v>
      </c>
      <c r="N42" s="872">
        <f t="shared" si="6"/>
        <v>19.5</v>
      </c>
      <c r="O42" s="872">
        <f t="shared" si="6"/>
        <v>21.233333333331665</v>
      </c>
      <c r="P42" s="872">
        <f t="shared" si="6"/>
        <v>22.316666666666464</v>
      </c>
      <c r="Q42" s="872">
        <f t="shared" si="6"/>
        <v>18.416666666665328</v>
      </c>
      <c r="R42" s="872">
        <f t="shared" si="6"/>
        <v>20.149999999998712</v>
      </c>
      <c r="S42" s="872">
        <f t="shared" si="6"/>
        <v>21.233333333331665</v>
      </c>
      <c r="T42" s="872">
        <f t="shared" si="6"/>
        <v>17.333333333332831</v>
      </c>
      <c r="U42" s="872">
        <f t="shared" ref="U42:Z73" si="9">U43-(U$363/360)</f>
        <v>19.06666666666699</v>
      </c>
      <c r="V42" s="872">
        <f t="shared" si="9"/>
        <v>20.149999999998712</v>
      </c>
      <c r="W42" s="872">
        <f t="shared" si="9"/>
        <v>16.249999999999901</v>
      </c>
      <c r="X42" s="872">
        <f t="shared" si="9"/>
        <v>17.983333333334034</v>
      </c>
      <c r="Y42" s="872">
        <f t="shared" si="9"/>
        <v>19.06666666666699</v>
      </c>
      <c r="Z42" s="872">
        <f t="shared" si="9"/>
        <v>15.166666666667524</v>
      </c>
      <c r="AA42" s="872">
        <f t="shared" si="8"/>
        <v>16.899999999999434</v>
      </c>
      <c r="AB42" s="872">
        <f t="shared" si="8"/>
        <v>17.983333333334034</v>
      </c>
      <c r="AC42" s="872">
        <f t="shared" si="8"/>
        <v>14.083333333332497</v>
      </c>
      <c r="AD42" s="872">
        <f t="shared" si="8"/>
        <v>15.816666666666656</v>
      </c>
      <c r="AE42" s="872">
        <f t="shared" si="8"/>
        <v>16.899999999999434</v>
      </c>
      <c r="AF42" s="872">
        <f t="shared" si="8"/>
        <v>13.00000000000062</v>
      </c>
      <c r="AG42" s="872">
        <f t="shared" si="8"/>
        <v>14.733333333333078</v>
      </c>
      <c r="AH42" s="872">
        <f t="shared" si="7"/>
        <v>15.816666666666656</v>
      </c>
      <c r="AI42" s="872">
        <f t="shared" si="7"/>
        <v>11.916666666666185</v>
      </c>
      <c r="AJ42" s="872">
        <f t="shared" si="7"/>
        <v>13.650000000000814</v>
      </c>
      <c r="AK42" s="872">
        <f t="shared" si="7"/>
        <v>14.733333333333078</v>
      </c>
    </row>
    <row r="43" spans="1:37" ht="13.5" thickBot="1">
      <c r="A43" s="868"/>
      <c r="B43" s="868"/>
      <c r="C43" s="868"/>
      <c r="D43" s="873">
        <f t="shared" si="3"/>
        <v>0.11111111111111115</v>
      </c>
      <c r="E43" s="872">
        <f t="shared" si="6"/>
        <v>31.111111111112827</v>
      </c>
      <c r="F43" s="872">
        <f t="shared" si="6"/>
        <v>32.888888888890051</v>
      </c>
      <c r="G43" s="872">
        <f t="shared" si="6"/>
        <v>33.999999999999915</v>
      </c>
      <c r="H43" s="872">
        <f t="shared" si="6"/>
        <v>28.888888888887216</v>
      </c>
      <c r="I43" s="872">
        <f t="shared" si="6"/>
        <v>30.666666666664966</v>
      </c>
      <c r="J43" s="872">
        <f t="shared" si="6"/>
        <v>31.777777777776897</v>
      </c>
      <c r="K43" s="872">
        <f t="shared" si="6"/>
        <v>26.666666666667908</v>
      </c>
      <c r="L43" s="872">
        <f t="shared" si="6"/>
        <v>28.444444444445235</v>
      </c>
      <c r="M43" s="872">
        <f t="shared" si="6"/>
        <v>29.555555555556815</v>
      </c>
      <c r="N43" s="872">
        <f t="shared" si="6"/>
        <v>20</v>
      </c>
      <c r="O43" s="872">
        <f t="shared" si="6"/>
        <v>21.777777777776109</v>
      </c>
      <c r="P43" s="872">
        <f t="shared" si="6"/>
        <v>22.888888888888687</v>
      </c>
      <c r="Q43" s="872">
        <f t="shared" si="6"/>
        <v>18.88888888888755</v>
      </c>
      <c r="R43" s="872">
        <f t="shared" si="6"/>
        <v>20.666666666665378</v>
      </c>
      <c r="S43" s="872">
        <f t="shared" si="6"/>
        <v>21.777777777776109</v>
      </c>
      <c r="T43" s="872">
        <f t="shared" si="6"/>
        <v>17.777777777777274</v>
      </c>
      <c r="U43" s="872">
        <f t="shared" si="9"/>
        <v>19.555555555555877</v>
      </c>
      <c r="V43" s="872">
        <f t="shared" si="9"/>
        <v>20.666666666665378</v>
      </c>
      <c r="W43" s="872">
        <f t="shared" si="9"/>
        <v>16.666666666666568</v>
      </c>
      <c r="X43" s="872">
        <f t="shared" si="9"/>
        <v>18.444444444445146</v>
      </c>
      <c r="Y43" s="872">
        <f t="shared" si="9"/>
        <v>19.555555555555877</v>
      </c>
      <c r="Z43" s="872">
        <f t="shared" si="9"/>
        <v>15.555555555556413</v>
      </c>
      <c r="AA43" s="872">
        <f t="shared" si="8"/>
        <v>17.333333333332767</v>
      </c>
      <c r="AB43" s="872">
        <f t="shared" si="8"/>
        <v>18.444444444445146</v>
      </c>
      <c r="AC43" s="872">
        <f t="shared" si="8"/>
        <v>14.444444444443608</v>
      </c>
      <c r="AD43" s="872">
        <f t="shared" si="8"/>
        <v>16.222222222222211</v>
      </c>
      <c r="AE43" s="872">
        <f t="shared" si="8"/>
        <v>17.333333333332767</v>
      </c>
      <c r="AF43" s="872">
        <f t="shared" si="8"/>
        <v>13.333333333333954</v>
      </c>
      <c r="AG43" s="872">
        <f t="shared" si="8"/>
        <v>15.111111111110857</v>
      </c>
      <c r="AH43" s="872">
        <f t="shared" si="7"/>
        <v>16.222222222222211</v>
      </c>
      <c r="AI43" s="872">
        <f t="shared" si="7"/>
        <v>12.22222222222174</v>
      </c>
      <c r="AJ43" s="872">
        <f t="shared" si="7"/>
        <v>14.000000000000814</v>
      </c>
      <c r="AK43" s="872">
        <f t="shared" si="7"/>
        <v>15.111111111110857</v>
      </c>
    </row>
    <row r="44" spans="1:37" ht="13.5" thickBot="1">
      <c r="A44" s="868"/>
      <c r="B44" s="868"/>
      <c r="C44" s="868"/>
      <c r="D44" s="873">
        <f t="shared" si="3"/>
        <v>0.11388888888888893</v>
      </c>
      <c r="E44" s="872">
        <f t="shared" si="6"/>
        <v>31.888888888890605</v>
      </c>
      <c r="F44" s="872">
        <f t="shared" si="6"/>
        <v>33.711111111112274</v>
      </c>
      <c r="G44" s="872">
        <f t="shared" si="6"/>
        <v>34.849999999999916</v>
      </c>
      <c r="H44" s="872">
        <f t="shared" si="6"/>
        <v>29.611111111109437</v>
      </c>
      <c r="I44" s="872">
        <f t="shared" si="6"/>
        <v>31.433333333331632</v>
      </c>
      <c r="J44" s="872">
        <f t="shared" si="6"/>
        <v>32.572222222221342</v>
      </c>
      <c r="K44" s="872">
        <f t="shared" si="6"/>
        <v>27.333333333334576</v>
      </c>
      <c r="L44" s="872">
        <f t="shared" si="6"/>
        <v>29.155555555556347</v>
      </c>
      <c r="M44" s="872">
        <f t="shared" si="6"/>
        <v>30.294444444445702</v>
      </c>
      <c r="N44" s="872">
        <f t="shared" si="6"/>
        <v>20.5</v>
      </c>
      <c r="O44" s="872">
        <f t="shared" si="6"/>
        <v>22.322222222220553</v>
      </c>
      <c r="P44" s="872">
        <f t="shared" si="6"/>
        <v>23.46111111111091</v>
      </c>
      <c r="Q44" s="872">
        <f t="shared" si="6"/>
        <v>19.361111111109771</v>
      </c>
      <c r="R44" s="872">
        <f t="shared" si="6"/>
        <v>21.183333333332044</v>
      </c>
      <c r="S44" s="872">
        <f t="shared" si="6"/>
        <v>22.322222222220553</v>
      </c>
      <c r="T44" s="872">
        <f t="shared" si="6"/>
        <v>18.222222222221717</v>
      </c>
      <c r="U44" s="872">
        <f t="shared" si="9"/>
        <v>20.044444444444764</v>
      </c>
      <c r="V44" s="872">
        <f t="shared" si="9"/>
        <v>21.183333333332044</v>
      </c>
      <c r="W44" s="872">
        <f t="shared" si="9"/>
        <v>17.083333333333236</v>
      </c>
      <c r="X44" s="872">
        <f t="shared" si="9"/>
        <v>18.905555555556258</v>
      </c>
      <c r="Y44" s="872">
        <f t="shared" si="9"/>
        <v>20.044444444444764</v>
      </c>
      <c r="Z44" s="872">
        <f t="shared" si="9"/>
        <v>15.944444444445303</v>
      </c>
      <c r="AA44" s="872">
        <f t="shared" si="8"/>
        <v>17.766666666666101</v>
      </c>
      <c r="AB44" s="872">
        <f t="shared" si="8"/>
        <v>18.905555555556258</v>
      </c>
      <c r="AC44" s="872">
        <f t="shared" si="8"/>
        <v>14.805555555554719</v>
      </c>
      <c r="AD44" s="872">
        <f t="shared" si="8"/>
        <v>16.627777777777766</v>
      </c>
      <c r="AE44" s="872">
        <f t="shared" si="8"/>
        <v>17.766666666666101</v>
      </c>
      <c r="AF44" s="872">
        <f t="shared" si="8"/>
        <v>13.666666666667288</v>
      </c>
      <c r="AG44" s="872">
        <f t="shared" si="8"/>
        <v>15.488888888888635</v>
      </c>
      <c r="AH44" s="872">
        <f t="shared" si="7"/>
        <v>16.627777777777766</v>
      </c>
      <c r="AI44" s="872">
        <f t="shared" si="7"/>
        <v>12.527777777777295</v>
      </c>
      <c r="AJ44" s="872">
        <f t="shared" si="7"/>
        <v>14.350000000000813</v>
      </c>
      <c r="AK44" s="872">
        <f t="shared" si="7"/>
        <v>15.488888888888635</v>
      </c>
    </row>
    <row r="45" spans="1:37" ht="13.5" thickBot="1">
      <c r="A45" s="868"/>
      <c r="B45" s="868"/>
      <c r="C45" s="868"/>
      <c r="D45" s="873">
        <f t="shared" si="3"/>
        <v>0.11666666666666671</v>
      </c>
      <c r="E45" s="872">
        <f t="shared" si="6"/>
        <v>32.666666666668384</v>
      </c>
      <c r="F45" s="872">
        <f t="shared" si="6"/>
        <v>34.533333333334497</v>
      </c>
      <c r="G45" s="872">
        <f t="shared" si="6"/>
        <v>35.699999999999918</v>
      </c>
      <c r="H45" s="872">
        <f t="shared" si="6"/>
        <v>30.333333333331659</v>
      </c>
      <c r="I45" s="872">
        <f t="shared" si="6"/>
        <v>32.199999999998298</v>
      </c>
      <c r="J45" s="872">
        <f t="shared" si="6"/>
        <v>33.366666666665786</v>
      </c>
      <c r="K45" s="872">
        <f t="shared" si="6"/>
        <v>28.000000000001243</v>
      </c>
      <c r="L45" s="872">
        <f t="shared" si="6"/>
        <v>29.866666666667459</v>
      </c>
      <c r="M45" s="872">
        <f t="shared" si="6"/>
        <v>31.033333333334589</v>
      </c>
      <c r="N45" s="872">
        <f t="shared" si="6"/>
        <v>21</v>
      </c>
      <c r="O45" s="872">
        <f t="shared" si="6"/>
        <v>22.866666666664997</v>
      </c>
      <c r="P45" s="872">
        <f t="shared" si="6"/>
        <v>24.033333333333132</v>
      </c>
      <c r="Q45" s="872">
        <f t="shared" si="6"/>
        <v>19.833333333331993</v>
      </c>
      <c r="R45" s="872">
        <f t="shared" si="6"/>
        <v>21.69999999999871</v>
      </c>
      <c r="S45" s="872">
        <f t="shared" si="6"/>
        <v>22.866666666664997</v>
      </c>
      <c r="T45" s="872">
        <f t="shared" si="6"/>
        <v>18.66666666666616</v>
      </c>
      <c r="U45" s="872">
        <f t="shared" si="9"/>
        <v>20.533333333333651</v>
      </c>
      <c r="V45" s="872">
        <f t="shared" si="9"/>
        <v>21.69999999999871</v>
      </c>
      <c r="W45" s="872">
        <f t="shared" si="9"/>
        <v>17.499999999999904</v>
      </c>
      <c r="X45" s="872">
        <f t="shared" si="9"/>
        <v>19.366666666667371</v>
      </c>
      <c r="Y45" s="872">
        <f t="shared" si="9"/>
        <v>20.533333333333651</v>
      </c>
      <c r="Z45" s="872">
        <f t="shared" si="9"/>
        <v>16.333333333334192</v>
      </c>
      <c r="AA45" s="872">
        <f t="shared" si="8"/>
        <v>18.199999999999434</v>
      </c>
      <c r="AB45" s="872">
        <f t="shared" si="8"/>
        <v>19.366666666667371</v>
      </c>
      <c r="AC45" s="872">
        <f t="shared" si="8"/>
        <v>15.166666666665829</v>
      </c>
      <c r="AD45" s="872">
        <f t="shared" si="8"/>
        <v>17.033333333333321</v>
      </c>
      <c r="AE45" s="872">
        <f t="shared" si="8"/>
        <v>18.199999999999434</v>
      </c>
      <c r="AF45" s="872">
        <f t="shared" si="8"/>
        <v>14.000000000000622</v>
      </c>
      <c r="AG45" s="872">
        <f t="shared" si="8"/>
        <v>15.866666666666413</v>
      </c>
      <c r="AH45" s="872">
        <f t="shared" si="7"/>
        <v>17.033333333333321</v>
      </c>
      <c r="AI45" s="872">
        <f t="shared" si="7"/>
        <v>12.833333333332851</v>
      </c>
      <c r="AJ45" s="872">
        <f t="shared" si="7"/>
        <v>14.700000000000813</v>
      </c>
      <c r="AK45" s="872">
        <f t="shared" si="7"/>
        <v>15.866666666666413</v>
      </c>
    </row>
    <row r="46" spans="1:37" ht="13.5" thickBot="1">
      <c r="A46" s="868"/>
      <c r="B46" s="868"/>
      <c r="C46" s="868"/>
      <c r="D46" s="873">
        <f t="shared" si="3"/>
        <v>0.11944444444444449</v>
      </c>
      <c r="E46" s="872">
        <f t="shared" si="6"/>
        <v>33.444444444446162</v>
      </c>
      <c r="F46" s="872">
        <f t="shared" si="6"/>
        <v>35.35555555555672</v>
      </c>
      <c r="G46" s="872">
        <f t="shared" si="6"/>
        <v>36.549999999999919</v>
      </c>
      <c r="H46" s="872">
        <f t="shared" si="6"/>
        <v>31.05555555555388</v>
      </c>
      <c r="I46" s="872">
        <f t="shared" si="6"/>
        <v>32.966666666664963</v>
      </c>
      <c r="J46" s="872">
        <f t="shared" si="6"/>
        <v>34.16111111111023</v>
      </c>
      <c r="K46" s="872">
        <f t="shared" si="6"/>
        <v>28.666666666667911</v>
      </c>
      <c r="L46" s="872">
        <f t="shared" si="6"/>
        <v>30.577777777778572</v>
      </c>
      <c r="M46" s="872">
        <f t="shared" si="6"/>
        <v>31.772222222223476</v>
      </c>
      <c r="N46" s="872">
        <f t="shared" si="6"/>
        <v>21.5</v>
      </c>
      <c r="O46" s="872">
        <f t="shared" si="6"/>
        <v>23.411111111109442</v>
      </c>
      <c r="P46" s="872">
        <f t="shared" si="6"/>
        <v>24.605555555555355</v>
      </c>
      <c r="Q46" s="872">
        <f t="shared" si="6"/>
        <v>20.305555555554214</v>
      </c>
      <c r="R46" s="872">
        <f t="shared" si="6"/>
        <v>22.216666666665375</v>
      </c>
      <c r="S46" s="872">
        <f t="shared" si="6"/>
        <v>23.411111111109442</v>
      </c>
      <c r="T46" s="872">
        <f t="shared" si="6"/>
        <v>19.111111111110603</v>
      </c>
      <c r="U46" s="872">
        <f t="shared" si="9"/>
        <v>21.022222222222538</v>
      </c>
      <c r="V46" s="872">
        <f t="shared" si="9"/>
        <v>22.216666666665375</v>
      </c>
      <c r="W46" s="872">
        <f t="shared" si="9"/>
        <v>17.916666666666572</v>
      </c>
      <c r="X46" s="872">
        <f t="shared" si="9"/>
        <v>19.827777777778483</v>
      </c>
      <c r="Y46" s="872">
        <f t="shared" si="9"/>
        <v>21.022222222222538</v>
      </c>
      <c r="Z46" s="872">
        <f t="shared" si="9"/>
        <v>16.722222222223081</v>
      </c>
      <c r="AA46" s="872">
        <f t="shared" si="8"/>
        <v>18.633333333332768</v>
      </c>
      <c r="AB46" s="872">
        <f t="shared" si="8"/>
        <v>19.827777777778483</v>
      </c>
      <c r="AC46" s="872">
        <f t="shared" si="8"/>
        <v>15.52777777777694</v>
      </c>
      <c r="AD46" s="872">
        <f t="shared" si="8"/>
        <v>17.438888888888876</v>
      </c>
      <c r="AE46" s="872">
        <f t="shared" si="8"/>
        <v>18.633333333332768</v>
      </c>
      <c r="AF46" s="872">
        <f t="shared" si="8"/>
        <v>14.333333333333956</v>
      </c>
      <c r="AG46" s="872">
        <f t="shared" si="8"/>
        <v>16.244444444444191</v>
      </c>
      <c r="AH46" s="872">
        <f t="shared" si="7"/>
        <v>17.438888888888876</v>
      </c>
      <c r="AI46" s="872">
        <f t="shared" si="7"/>
        <v>13.138888888888406</v>
      </c>
      <c r="AJ46" s="872">
        <f t="shared" si="7"/>
        <v>15.050000000000813</v>
      </c>
      <c r="AK46" s="872">
        <f t="shared" si="7"/>
        <v>16.244444444444191</v>
      </c>
    </row>
    <row r="47" spans="1:37" ht="13.5" thickBot="1">
      <c r="A47" s="868"/>
      <c r="B47" s="868"/>
      <c r="C47" s="868"/>
      <c r="D47" s="873">
        <f t="shared" si="3"/>
        <v>0.12222222222222227</v>
      </c>
      <c r="E47" s="872">
        <f t="shared" si="6"/>
        <v>34.222222222223941</v>
      </c>
      <c r="F47" s="872">
        <f t="shared" si="6"/>
        <v>36.177777777778942</v>
      </c>
      <c r="G47" s="872">
        <f t="shared" si="6"/>
        <v>37.39999999999992</v>
      </c>
      <c r="H47" s="872">
        <f t="shared" si="6"/>
        <v>31.777777777776102</v>
      </c>
      <c r="I47" s="872">
        <f t="shared" si="6"/>
        <v>33.733333333331629</v>
      </c>
      <c r="J47" s="872">
        <f t="shared" si="6"/>
        <v>34.955555555554675</v>
      </c>
      <c r="K47" s="872">
        <f t="shared" si="6"/>
        <v>29.333333333334579</v>
      </c>
      <c r="L47" s="872">
        <f t="shared" si="6"/>
        <v>31.288888888889684</v>
      </c>
      <c r="M47" s="872">
        <f t="shared" si="6"/>
        <v>32.511111111112363</v>
      </c>
      <c r="N47" s="872">
        <f t="shared" si="6"/>
        <v>22</v>
      </c>
      <c r="O47" s="872">
        <f t="shared" si="6"/>
        <v>23.955555555553886</v>
      </c>
      <c r="P47" s="872">
        <f t="shared" si="6"/>
        <v>25.177777777777578</v>
      </c>
      <c r="Q47" s="872">
        <f t="shared" si="6"/>
        <v>20.777777777776436</v>
      </c>
      <c r="R47" s="872">
        <f t="shared" si="6"/>
        <v>22.733333333332041</v>
      </c>
      <c r="S47" s="872">
        <f t="shared" si="6"/>
        <v>23.955555555553886</v>
      </c>
      <c r="T47" s="872">
        <f t="shared" si="6"/>
        <v>19.555555555555046</v>
      </c>
      <c r="U47" s="872">
        <f t="shared" si="9"/>
        <v>21.511111111111425</v>
      </c>
      <c r="V47" s="872">
        <f t="shared" si="9"/>
        <v>22.733333333332041</v>
      </c>
      <c r="W47" s="872">
        <f t="shared" si="9"/>
        <v>18.33333333333324</v>
      </c>
      <c r="X47" s="872">
        <f t="shared" si="9"/>
        <v>20.288888888889595</v>
      </c>
      <c r="Y47" s="872">
        <f t="shared" si="9"/>
        <v>21.511111111111425</v>
      </c>
      <c r="Z47" s="872">
        <f t="shared" si="9"/>
        <v>17.11111111111197</v>
      </c>
      <c r="AA47" s="872">
        <f t="shared" si="8"/>
        <v>19.066666666666102</v>
      </c>
      <c r="AB47" s="872">
        <f t="shared" si="8"/>
        <v>20.288888888889595</v>
      </c>
      <c r="AC47" s="872">
        <f t="shared" si="8"/>
        <v>15.888888888888051</v>
      </c>
      <c r="AD47" s="872">
        <f t="shared" si="8"/>
        <v>17.844444444444431</v>
      </c>
      <c r="AE47" s="872">
        <f t="shared" si="8"/>
        <v>19.066666666666102</v>
      </c>
      <c r="AF47" s="872">
        <f t="shared" si="8"/>
        <v>14.66666666666729</v>
      </c>
      <c r="AG47" s="872">
        <f t="shared" si="8"/>
        <v>16.622222222221968</v>
      </c>
      <c r="AH47" s="872">
        <f t="shared" si="7"/>
        <v>17.844444444444431</v>
      </c>
      <c r="AI47" s="872">
        <f t="shared" si="7"/>
        <v>13.444444444443961</v>
      </c>
      <c r="AJ47" s="872">
        <f t="shared" si="7"/>
        <v>15.400000000000812</v>
      </c>
      <c r="AK47" s="872">
        <f t="shared" si="7"/>
        <v>16.622222222221968</v>
      </c>
    </row>
    <row r="48" spans="1:37" ht="13.5" thickBot="1">
      <c r="A48" s="868"/>
      <c r="B48" s="868"/>
      <c r="C48" s="868"/>
      <c r="D48" s="873">
        <f t="shared" si="3"/>
        <v>0.12500000000000006</v>
      </c>
      <c r="E48" s="872">
        <f t="shared" si="6"/>
        <v>35.00000000000172</v>
      </c>
      <c r="F48" s="872">
        <f t="shared" si="6"/>
        <v>37.000000000001165</v>
      </c>
      <c r="G48" s="872">
        <f t="shared" si="6"/>
        <v>38.249999999999922</v>
      </c>
      <c r="H48" s="872">
        <f t="shared" si="6"/>
        <v>32.499999999998323</v>
      </c>
      <c r="I48" s="872">
        <f t="shared" si="6"/>
        <v>34.499999999998295</v>
      </c>
      <c r="J48" s="872">
        <f t="shared" si="6"/>
        <v>35.749999999999119</v>
      </c>
      <c r="K48" s="872">
        <f t="shared" si="6"/>
        <v>30.000000000001247</v>
      </c>
      <c r="L48" s="872">
        <f t="shared" si="6"/>
        <v>32.000000000000796</v>
      </c>
      <c r="M48" s="872">
        <f t="shared" si="6"/>
        <v>33.250000000001251</v>
      </c>
      <c r="N48" s="872">
        <f t="shared" si="6"/>
        <v>22.5</v>
      </c>
      <c r="O48" s="872">
        <f t="shared" si="6"/>
        <v>24.49999999999833</v>
      </c>
      <c r="P48" s="872">
        <f t="shared" si="6"/>
        <v>25.749999999999801</v>
      </c>
      <c r="Q48" s="872">
        <f t="shared" si="6"/>
        <v>21.249999999998657</v>
      </c>
      <c r="R48" s="872">
        <f t="shared" si="6"/>
        <v>23.249999999998707</v>
      </c>
      <c r="S48" s="872">
        <f t="shared" si="6"/>
        <v>24.49999999999833</v>
      </c>
      <c r="T48" s="872">
        <f t="shared" si="6"/>
        <v>19.999999999999488</v>
      </c>
      <c r="U48" s="872">
        <f t="shared" si="9"/>
        <v>22.000000000000313</v>
      </c>
      <c r="V48" s="872">
        <f t="shared" si="9"/>
        <v>23.249999999998707</v>
      </c>
      <c r="W48" s="872">
        <f t="shared" si="9"/>
        <v>18.749999999999908</v>
      </c>
      <c r="X48" s="872">
        <f t="shared" si="9"/>
        <v>20.750000000000707</v>
      </c>
      <c r="Y48" s="872">
        <f t="shared" si="9"/>
        <v>22.000000000000313</v>
      </c>
      <c r="Z48" s="872">
        <f t="shared" si="9"/>
        <v>17.50000000000086</v>
      </c>
      <c r="AA48" s="872">
        <f t="shared" si="8"/>
        <v>19.499999999999435</v>
      </c>
      <c r="AB48" s="872">
        <f t="shared" si="8"/>
        <v>20.750000000000707</v>
      </c>
      <c r="AC48" s="872">
        <f t="shared" si="8"/>
        <v>16.249999999999162</v>
      </c>
      <c r="AD48" s="872">
        <f t="shared" si="8"/>
        <v>18.249999999999986</v>
      </c>
      <c r="AE48" s="872">
        <f t="shared" si="8"/>
        <v>19.499999999999435</v>
      </c>
      <c r="AF48" s="872">
        <f t="shared" si="8"/>
        <v>15.000000000000624</v>
      </c>
      <c r="AG48" s="872">
        <f t="shared" si="8"/>
        <v>16.999999999999744</v>
      </c>
      <c r="AH48" s="872">
        <f t="shared" si="7"/>
        <v>18.249999999999986</v>
      </c>
      <c r="AI48" s="872">
        <f t="shared" si="7"/>
        <v>13.749999999999517</v>
      </c>
      <c r="AJ48" s="872">
        <f t="shared" si="7"/>
        <v>15.750000000000812</v>
      </c>
      <c r="AK48" s="872">
        <f t="shared" si="7"/>
        <v>16.999999999999744</v>
      </c>
    </row>
    <row r="49" spans="1:37" ht="13.5" thickBot="1">
      <c r="A49" s="868"/>
      <c r="B49" s="868"/>
      <c r="C49" s="868"/>
      <c r="D49" s="873">
        <f t="shared" si="3"/>
        <v>0.12777777777777782</v>
      </c>
      <c r="E49" s="872">
        <f t="shared" si="6"/>
        <v>35.777777777779498</v>
      </c>
      <c r="F49" s="872">
        <f t="shared" si="6"/>
        <v>37.822222222223388</v>
      </c>
      <c r="G49" s="872">
        <f t="shared" si="6"/>
        <v>39.099999999999923</v>
      </c>
      <c r="H49" s="872">
        <f t="shared" si="6"/>
        <v>33.222222222220545</v>
      </c>
      <c r="I49" s="872">
        <f t="shared" si="6"/>
        <v>35.26666666666496</v>
      </c>
      <c r="J49" s="872">
        <f t="shared" si="6"/>
        <v>36.544444444443563</v>
      </c>
      <c r="K49" s="872">
        <f t="shared" si="6"/>
        <v>30.666666666667915</v>
      </c>
      <c r="L49" s="872">
        <f t="shared" si="6"/>
        <v>32.711111111111904</v>
      </c>
      <c r="M49" s="872">
        <f t="shared" si="6"/>
        <v>33.988888888890138</v>
      </c>
      <c r="N49" s="872">
        <f t="shared" si="6"/>
        <v>23</v>
      </c>
      <c r="O49" s="872">
        <f t="shared" si="6"/>
        <v>25.044444444442775</v>
      </c>
      <c r="P49" s="872">
        <f t="shared" si="6"/>
        <v>26.322222222222024</v>
      </c>
      <c r="Q49" s="872">
        <f t="shared" si="6"/>
        <v>21.722222222220879</v>
      </c>
      <c r="R49" s="872">
        <f t="shared" si="6"/>
        <v>23.766666666665373</v>
      </c>
      <c r="S49" s="872">
        <f t="shared" si="6"/>
        <v>25.044444444442775</v>
      </c>
      <c r="T49" s="872">
        <f t="shared" si="6"/>
        <v>20.444444444443931</v>
      </c>
      <c r="U49" s="872">
        <f t="shared" si="9"/>
        <v>22.4888888888892</v>
      </c>
      <c r="V49" s="872">
        <f t="shared" si="9"/>
        <v>23.766666666665373</v>
      </c>
      <c r="W49" s="872">
        <f t="shared" si="9"/>
        <v>19.166666666666575</v>
      </c>
      <c r="X49" s="872">
        <f t="shared" si="9"/>
        <v>21.211111111111819</v>
      </c>
      <c r="Y49" s="872">
        <f t="shared" si="9"/>
        <v>22.4888888888892</v>
      </c>
      <c r="Z49" s="872">
        <f t="shared" si="9"/>
        <v>17.888888888889749</v>
      </c>
      <c r="AA49" s="872">
        <f t="shared" si="8"/>
        <v>19.933333333332769</v>
      </c>
      <c r="AB49" s="872">
        <f t="shared" si="8"/>
        <v>21.211111111111819</v>
      </c>
      <c r="AC49" s="872">
        <f t="shared" si="8"/>
        <v>16.611111111110272</v>
      </c>
      <c r="AD49" s="872">
        <f t="shared" si="8"/>
        <v>18.655555555555541</v>
      </c>
      <c r="AE49" s="872">
        <f t="shared" si="8"/>
        <v>19.933333333332769</v>
      </c>
      <c r="AF49" s="872">
        <f t="shared" si="8"/>
        <v>15.333333333333957</v>
      </c>
      <c r="AG49" s="872">
        <f t="shared" si="8"/>
        <v>17.377777777777521</v>
      </c>
      <c r="AH49" s="872">
        <f t="shared" si="7"/>
        <v>18.655555555555541</v>
      </c>
      <c r="AI49" s="872">
        <f t="shared" si="7"/>
        <v>14.055555555555072</v>
      </c>
      <c r="AJ49" s="872">
        <f t="shared" si="7"/>
        <v>16.100000000000811</v>
      </c>
      <c r="AK49" s="872">
        <f t="shared" si="7"/>
        <v>17.377777777777521</v>
      </c>
    </row>
    <row r="50" spans="1:37" ht="13.5" thickBot="1">
      <c r="A50" s="868"/>
      <c r="B50" s="868"/>
      <c r="C50" s="868"/>
      <c r="D50" s="873">
        <f t="shared" si="3"/>
        <v>0.13055555555555559</v>
      </c>
      <c r="E50" s="872">
        <f t="shared" si="6"/>
        <v>36.555555555557277</v>
      </c>
      <c r="F50" s="872">
        <f t="shared" si="6"/>
        <v>38.644444444445611</v>
      </c>
      <c r="G50" s="872">
        <f t="shared" si="6"/>
        <v>39.949999999999925</v>
      </c>
      <c r="H50" s="872">
        <f t="shared" si="6"/>
        <v>33.944444444442766</v>
      </c>
      <c r="I50" s="872">
        <f t="shared" si="6"/>
        <v>36.033333333331626</v>
      </c>
      <c r="J50" s="872">
        <f t="shared" si="6"/>
        <v>37.338888888888008</v>
      </c>
      <c r="K50" s="872">
        <f t="shared" si="6"/>
        <v>31.333333333334583</v>
      </c>
      <c r="L50" s="872">
        <f t="shared" si="6"/>
        <v>33.422222222223013</v>
      </c>
      <c r="M50" s="872">
        <f t="shared" si="6"/>
        <v>34.727777777779025</v>
      </c>
      <c r="N50" s="872">
        <f t="shared" si="6"/>
        <v>23.5</v>
      </c>
      <c r="O50" s="872">
        <f t="shared" si="6"/>
        <v>25.588888888887219</v>
      </c>
      <c r="P50" s="872">
        <f t="shared" si="6"/>
        <v>26.894444444444247</v>
      </c>
      <c r="Q50" s="872">
        <f t="shared" si="6"/>
        <v>22.1944444444431</v>
      </c>
      <c r="R50" s="872">
        <f t="shared" si="6"/>
        <v>24.283333333332038</v>
      </c>
      <c r="S50" s="872">
        <f t="shared" si="6"/>
        <v>25.588888888887219</v>
      </c>
      <c r="T50" s="872">
        <f t="shared" si="6"/>
        <v>20.888888888888374</v>
      </c>
      <c r="U50" s="872">
        <f t="shared" si="9"/>
        <v>22.977777777778087</v>
      </c>
      <c r="V50" s="872">
        <f t="shared" si="9"/>
        <v>24.283333333332038</v>
      </c>
      <c r="W50" s="872">
        <f t="shared" si="9"/>
        <v>19.583333333333243</v>
      </c>
      <c r="X50" s="872">
        <f t="shared" si="9"/>
        <v>21.672222222222931</v>
      </c>
      <c r="Y50" s="872">
        <f t="shared" si="9"/>
        <v>22.977777777778087</v>
      </c>
      <c r="Z50" s="872">
        <f t="shared" si="9"/>
        <v>18.277777777778638</v>
      </c>
      <c r="AA50" s="872">
        <f t="shared" si="8"/>
        <v>20.366666666666102</v>
      </c>
      <c r="AB50" s="872">
        <f t="shared" si="8"/>
        <v>21.672222222222931</v>
      </c>
      <c r="AC50" s="872">
        <f t="shared" si="8"/>
        <v>16.972222222221383</v>
      </c>
      <c r="AD50" s="872">
        <f t="shared" si="8"/>
        <v>19.061111111111096</v>
      </c>
      <c r="AE50" s="872">
        <f t="shared" si="8"/>
        <v>20.366666666666102</v>
      </c>
      <c r="AF50" s="872">
        <f t="shared" si="8"/>
        <v>15.666666666667291</v>
      </c>
      <c r="AG50" s="872">
        <f t="shared" si="8"/>
        <v>17.755555555555297</v>
      </c>
      <c r="AH50" s="872">
        <f t="shared" si="7"/>
        <v>19.061111111111096</v>
      </c>
      <c r="AI50" s="872">
        <f t="shared" si="7"/>
        <v>14.361111111110628</v>
      </c>
      <c r="AJ50" s="872">
        <f t="shared" si="7"/>
        <v>16.450000000000813</v>
      </c>
      <c r="AK50" s="872">
        <f t="shared" si="7"/>
        <v>17.755555555555297</v>
      </c>
    </row>
    <row r="51" spans="1:37" ht="13.5" thickBot="1">
      <c r="A51" s="868"/>
      <c r="B51" s="868"/>
      <c r="C51" s="868"/>
      <c r="D51" s="873">
        <f t="shared" si="3"/>
        <v>0.13333333333333336</v>
      </c>
      <c r="E51" s="872">
        <f t="shared" si="6"/>
        <v>37.333333333335055</v>
      </c>
      <c r="F51" s="872">
        <f t="shared" si="6"/>
        <v>39.466666666667834</v>
      </c>
      <c r="G51" s="872">
        <f t="shared" si="6"/>
        <v>40.799999999999926</v>
      </c>
      <c r="H51" s="872">
        <f t="shared" si="6"/>
        <v>34.666666666664987</v>
      </c>
      <c r="I51" s="872">
        <f t="shared" si="6"/>
        <v>36.799999999998292</v>
      </c>
      <c r="J51" s="872">
        <f t="shared" si="6"/>
        <v>38.133333333332452</v>
      </c>
      <c r="K51" s="872">
        <f t="shared" si="6"/>
        <v>32.000000000001251</v>
      </c>
      <c r="L51" s="872">
        <f t="shared" si="6"/>
        <v>34.133333333334122</v>
      </c>
      <c r="M51" s="872">
        <f t="shared" si="6"/>
        <v>35.466666666667912</v>
      </c>
      <c r="N51" s="872">
        <f t="shared" si="6"/>
        <v>24</v>
      </c>
      <c r="O51" s="872">
        <f t="shared" si="6"/>
        <v>26.133333333331663</v>
      </c>
      <c r="P51" s="872">
        <f t="shared" si="6"/>
        <v>27.46666666666647</v>
      </c>
      <c r="Q51" s="872">
        <f t="shared" si="6"/>
        <v>22.666666666665321</v>
      </c>
      <c r="R51" s="872">
        <f t="shared" si="6"/>
        <v>24.799999999998704</v>
      </c>
      <c r="S51" s="872">
        <f t="shared" si="6"/>
        <v>26.133333333331663</v>
      </c>
      <c r="T51" s="872">
        <f t="shared" si="6"/>
        <v>21.333333333332817</v>
      </c>
      <c r="U51" s="872">
        <f t="shared" si="9"/>
        <v>23.466666666666974</v>
      </c>
      <c r="V51" s="872">
        <f t="shared" si="9"/>
        <v>24.799999999998704</v>
      </c>
      <c r="W51" s="872">
        <f t="shared" si="9"/>
        <v>19.999999999999911</v>
      </c>
      <c r="X51" s="872">
        <f t="shared" si="9"/>
        <v>22.133333333334043</v>
      </c>
      <c r="Y51" s="872">
        <f t="shared" si="9"/>
        <v>23.466666666666974</v>
      </c>
      <c r="Z51" s="872">
        <f t="shared" si="9"/>
        <v>18.666666666667528</v>
      </c>
      <c r="AA51" s="872">
        <f t="shared" si="8"/>
        <v>20.799999999999436</v>
      </c>
      <c r="AB51" s="872">
        <f t="shared" si="8"/>
        <v>22.133333333334043</v>
      </c>
      <c r="AC51" s="872">
        <f t="shared" si="8"/>
        <v>17.333333333332494</v>
      </c>
      <c r="AD51" s="872">
        <f t="shared" si="8"/>
        <v>19.466666666666651</v>
      </c>
      <c r="AE51" s="872">
        <f t="shared" si="8"/>
        <v>20.799999999999436</v>
      </c>
      <c r="AF51" s="872">
        <f t="shared" si="8"/>
        <v>16.000000000000625</v>
      </c>
      <c r="AG51" s="872">
        <f t="shared" si="8"/>
        <v>18.133333333333074</v>
      </c>
      <c r="AH51" s="872">
        <f t="shared" si="7"/>
        <v>19.466666666666651</v>
      </c>
      <c r="AI51" s="872">
        <f t="shared" si="7"/>
        <v>14.666666666666183</v>
      </c>
      <c r="AJ51" s="872">
        <f t="shared" si="7"/>
        <v>16.800000000000814</v>
      </c>
      <c r="AK51" s="872">
        <f t="shared" si="7"/>
        <v>18.133333333333074</v>
      </c>
    </row>
    <row r="52" spans="1:37" ht="13.5" thickBot="1">
      <c r="A52" s="868"/>
      <c r="B52" s="868"/>
      <c r="C52" s="868"/>
      <c r="D52" s="873">
        <f t="shared" si="3"/>
        <v>0.13611111111111113</v>
      </c>
      <c r="E52" s="872">
        <f t="shared" si="6"/>
        <v>38.111111111112834</v>
      </c>
      <c r="F52" s="872">
        <f t="shared" si="6"/>
        <v>40.288888888890057</v>
      </c>
      <c r="G52" s="872">
        <f t="shared" si="6"/>
        <v>41.649999999999928</v>
      </c>
      <c r="H52" s="872">
        <f t="shared" si="6"/>
        <v>35.388888888887209</v>
      </c>
      <c r="I52" s="872">
        <f t="shared" si="6"/>
        <v>37.566666666664958</v>
      </c>
      <c r="J52" s="872">
        <f t="shared" ref="J52:V74" si="10">J53-(J$363/360)</f>
        <v>38.927777777776896</v>
      </c>
      <c r="K52" s="872">
        <f t="shared" si="10"/>
        <v>32.666666666667915</v>
      </c>
      <c r="L52" s="872">
        <f t="shared" si="10"/>
        <v>34.84444444444523</v>
      </c>
      <c r="M52" s="872">
        <f t="shared" si="10"/>
        <v>36.205555555556799</v>
      </c>
      <c r="N52" s="872">
        <f t="shared" si="10"/>
        <v>24.5</v>
      </c>
      <c r="O52" s="872">
        <f t="shared" si="10"/>
        <v>26.677777777776107</v>
      </c>
      <c r="P52" s="872">
        <f t="shared" si="10"/>
        <v>28.038888888888692</v>
      </c>
      <c r="Q52" s="872">
        <f t="shared" si="10"/>
        <v>23.138888888887543</v>
      </c>
      <c r="R52" s="872">
        <f t="shared" si="10"/>
        <v>25.31666666666537</v>
      </c>
      <c r="S52" s="872">
        <f t="shared" si="10"/>
        <v>26.677777777776107</v>
      </c>
      <c r="T52" s="872">
        <f t="shared" si="10"/>
        <v>21.77777777777726</v>
      </c>
      <c r="U52" s="872">
        <f t="shared" si="9"/>
        <v>23.955555555555861</v>
      </c>
      <c r="V52" s="872">
        <f t="shared" si="9"/>
        <v>25.31666666666537</v>
      </c>
      <c r="W52" s="872">
        <f t="shared" si="9"/>
        <v>20.416666666666579</v>
      </c>
      <c r="X52" s="872">
        <f t="shared" si="9"/>
        <v>22.594444444445156</v>
      </c>
      <c r="Y52" s="872">
        <f t="shared" si="9"/>
        <v>23.955555555555861</v>
      </c>
      <c r="Z52" s="872">
        <f t="shared" si="9"/>
        <v>19.055555555556417</v>
      </c>
      <c r="AA52" s="872">
        <f t="shared" si="8"/>
        <v>21.233333333332769</v>
      </c>
      <c r="AB52" s="872">
        <f t="shared" si="8"/>
        <v>22.594444444445156</v>
      </c>
      <c r="AC52" s="872">
        <f t="shared" si="8"/>
        <v>17.694444444443604</v>
      </c>
      <c r="AD52" s="872">
        <f t="shared" si="8"/>
        <v>19.872222222222206</v>
      </c>
      <c r="AE52" s="872">
        <f t="shared" si="8"/>
        <v>21.233333333332769</v>
      </c>
      <c r="AF52" s="872">
        <f t="shared" si="8"/>
        <v>16.333333333333957</v>
      </c>
      <c r="AG52" s="872">
        <f t="shared" si="8"/>
        <v>18.51111111111085</v>
      </c>
      <c r="AH52" s="872">
        <f t="shared" si="7"/>
        <v>19.872222222222206</v>
      </c>
      <c r="AI52" s="872">
        <f t="shared" si="7"/>
        <v>14.972222222221738</v>
      </c>
      <c r="AJ52" s="872">
        <f t="shared" si="7"/>
        <v>17.150000000000816</v>
      </c>
      <c r="AK52" s="872">
        <f t="shared" si="7"/>
        <v>18.51111111111085</v>
      </c>
    </row>
    <row r="53" spans="1:37" ht="13.5" thickBot="1">
      <c r="A53" s="868"/>
      <c r="B53" s="868"/>
      <c r="C53" s="868"/>
      <c r="D53" s="873">
        <f t="shared" si="3"/>
        <v>0.1388888888888889</v>
      </c>
      <c r="E53" s="872">
        <f t="shared" ref="E53:T83" si="11">E54-(E$363/360)</f>
        <v>38.888888888890612</v>
      </c>
      <c r="F53" s="872">
        <f t="shared" si="11"/>
        <v>41.11111111111228</v>
      </c>
      <c r="G53" s="872">
        <f t="shared" si="11"/>
        <v>42.499999999999929</v>
      </c>
      <c r="H53" s="872">
        <f t="shared" si="11"/>
        <v>36.11111111110943</v>
      </c>
      <c r="I53" s="872">
        <f t="shared" si="11"/>
        <v>38.333333333331623</v>
      </c>
      <c r="J53" s="872">
        <f t="shared" si="10"/>
        <v>39.72222222222134</v>
      </c>
      <c r="K53" s="872">
        <f t="shared" si="10"/>
        <v>33.333333333334579</v>
      </c>
      <c r="L53" s="872">
        <f t="shared" si="10"/>
        <v>35.555555555556339</v>
      </c>
      <c r="M53" s="872">
        <f t="shared" si="10"/>
        <v>36.944444444445686</v>
      </c>
      <c r="N53" s="872">
        <f t="shared" si="10"/>
        <v>25</v>
      </c>
      <c r="O53" s="872">
        <f t="shared" si="10"/>
        <v>27.222222222220552</v>
      </c>
      <c r="P53" s="872">
        <f t="shared" si="10"/>
        <v>28.611111111110915</v>
      </c>
      <c r="Q53" s="872">
        <f t="shared" si="10"/>
        <v>23.611111111109764</v>
      </c>
      <c r="R53" s="872">
        <f t="shared" si="10"/>
        <v>25.833333333332035</v>
      </c>
      <c r="S53" s="872">
        <f t="shared" si="10"/>
        <v>27.222222222220552</v>
      </c>
      <c r="T53" s="872">
        <f t="shared" si="10"/>
        <v>22.222222222221703</v>
      </c>
      <c r="U53" s="872">
        <f t="shared" si="9"/>
        <v>24.444444444444748</v>
      </c>
      <c r="V53" s="872">
        <f t="shared" si="9"/>
        <v>25.833333333332035</v>
      </c>
      <c r="W53" s="872">
        <f t="shared" si="9"/>
        <v>20.833333333333247</v>
      </c>
      <c r="X53" s="872">
        <f t="shared" si="9"/>
        <v>23.055555555556268</v>
      </c>
      <c r="Y53" s="872">
        <f t="shared" si="9"/>
        <v>24.444444444444748</v>
      </c>
      <c r="Z53" s="872">
        <f t="shared" si="9"/>
        <v>19.444444444445306</v>
      </c>
      <c r="AA53" s="872">
        <f t="shared" si="8"/>
        <v>21.666666666666103</v>
      </c>
      <c r="AB53" s="872">
        <f t="shared" si="8"/>
        <v>23.055555555556268</v>
      </c>
      <c r="AC53" s="872">
        <f t="shared" si="8"/>
        <v>18.055555555554715</v>
      </c>
      <c r="AD53" s="872">
        <f t="shared" si="8"/>
        <v>20.277777777777761</v>
      </c>
      <c r="AE53" s="872">
        <f t="shared" si="8"/>
        <v>21.666666666666103</v>
      </c>
      <c r="AF53" s="872">
        <f t="shared" si="8"/>
        <v>16.66666666666729</v>
      </c>
      <c r="AG53" s="872">
        <f t="shared" si="8"/>
        <v>18.888888888888626</v>
      </c>
      <c r="AH53" s="872">
        <f t="shared" si="7"/>
        <v>20.277777777777761</v>
      </c>
      <c r="AI53" s="872">
        <f t="shared" si="7"/>
        <v>15.277777777777294</v>
      </c>
      <c r="AJ53" s="872">
        <f t="shared" si="7"/>
        <v>17.500000000000817</v>
      </c>
      <c r="AK53" s="872">
        <f t="shared" si="7"/>
        <v>18.888888888888626</v>
      </c>
    </row>
    <row r="54" spans="1:37" ht="13.5" thickBot="1">
      <c r="A54" s="868"/>
      <c r="B54" s="868"/>
      <c r="C54" s="868"/>
      <c r="D54" s="873">
        <f t="shared" si="3"/>
        <v>0.14166666666666666</v>
      </c>
      <c r="E54" s="872">
        <f t="shared" si="11"/>
        <v>39.666666666668391</v>
      </c>
      <c r="F54" s="872">
        <f t="shared" si="11"/>
        <v>41.933333333334502</v>
      </c>
      <c r="G54" s="872">
        <f t="shared" si="11"/>
        <v>43.34999999999993</v>
      </c>
      <c r="H54" s="872">
        <f t="shared" si="11"/>
        <v>36.833333333331652</v>
      </c>
      <c r="I54" s="872">
        <f t="shared" si="11"/>
        <v>39.099999999998289</v>
      </c>
      <c r="J54" s="872">
        <f t="shared" si="10"/>
        <v>40.516666666665785</v>
      </c>
      <c r="K54" s="872">
        <f t="shared" si="10"/>
        <v>34.000000000001243</v>
      </c>
      <c r="L54" s="872">
        <f t="shared" si="10"/>
        <v>36.266666666667447</v>
      </c>
      <c r="M54" s="872">
        <f t="shared" si="10"/>
        <v>37.683333333334573</v>
      </c>
      <c r="N54" s="872">
        <f t="shared" si="10"/>
        <v>25.5</v>
      </c>
      <c r="O54" s="872">
        <f t="shared" si="10"/>
        <v>27.766666666664996</v>
      </c>
      <c r="P54" s="872">
        <f t="shared" si="10"/>
        <v>29.183333333333138</v>
      </c>
      <c r="Q54" s="872">
        <f t="shared" si="10"/>
        <v>24.083333333331986</v>
      </c>
      <c r="R54" s="872">
        <f t="shared" si="10"/>
        <v>26.349999999998701</v>
      </c>
      <c r="S54" s="872">
        <f t="shared" si="10"/>
        <v>27.766666666664996</v>
      </c>
      <c r="T54" s="872">
        <f t="shared" si="10"/>
        <v>22.666666666666146</v>
      </c>
      <c r="U54" s="872">
        <f t="shared" si="9"/>
        <v>24.933333333333636</v>
      </c>
      <c r="V54" s="872">
        <f t="shared" si="9"/>
        <v>26.349999999998701</v>
      </c>
      <c r="W54" s="872">
        <f t="shared" si="9"/>
        <v>21.249999999999915</v>
      </c>
      <c r="X54" s="872">
        <f t="shared" si="9"/>
        <v>23.51666666666738</v>
      </c>
      <c r="Y54" s="872">
        <f t="shared" si="9"/>
        <v>24.933333333333636</v>
      </c>
      <c r="Z54" s="872">
        <f t="shared" si="9"/>
        <v>19.833333333334195</v>
      </c>
      <c r="AA54" s="872">
        <f t="shared" si="8"/>
        <v>22.099999999999437</v>
      </c>
      <c r="AB54" s="872">
        <f t="shared" si="8"/>
        <v>23.51666666666738</v>
      </c>
      <c r="AC54" s="872">
        <f t="shared" si="8"/>
        <v>18.416666666665826</v>
      </c>
      <c r="AD54" s="872">
        <f t="shared" si="8"/>
        <v>20.683333333333316</v>
      </c>
      <c r="AE54" s="872">
        <f t="shared" si="8"/>
        <v>22.099999999999437</v>
      </c>
      <c r="AF54" s="872">
        <f t="shared" si="8"/>
        <v>17.000000000000622</v>
      </c>
      <c r="AG54" s="872">
        <f t="shared" si="8"/>
        <v>19.266666666666403</v>
      </c>
      <c r="AH54" s="872">
        <f t="shared" si="7"/>
        <v>20.683333333333316</v>
      </c>
      <c r="AI54" s="872">
        <f t="shared" si="7"/>
        <v>15.583333333332849</v>
      </c>
      <c r="AJ54" s="872">
        <f t="shared" si="7"/>
        <v>17.850000000000819</v>
      </c>
      <c r="AK54" s="872">
        <f t="shared" si="7"/>
        <v>19.266666666666403</v>
      </c>
    </row>
    <row r="55" spans="1:37" ht="13.5" thickBot="1">
      <c r="A55" s="868"/>
      <c r="B55" s="868"/>
      <c r="C55" s="868"/>
      <c r="D55" s="873">
        <f t="shared" si="3"/>
        <v>0.14444444444444443</v>
      </c>
      <c r="E55" s="872">
        <f t="shared" si="11"/>
        <v>40.444444444446169</v>
      </c>
      <c r="F55" s="872">
        <f t="shared" si="11"/>
        <v>42.755555555556725</v>
      </c>
      <c r="G55" s="872">
        <f t="shared" si="11"/>
        <v>44.199999999999932</v>
      </c>
      <c r="H55" s="872">
        <f t="shared" si="11"/>
        <v>37.555555555553873</v>
      </c>
      <c r="I55" s="872">
        <f t="shared" si="11"/>
        <v>39.866666666664955</v>
      </c>
      <c r="J55" s="872">
        <f t="shared" si="10"/>
        <v>41.311111111110229</v>
      </c>
      <c r="K55" s="872">
        <f t="shared" si="10"/>
        <v>34.666666666667908</v>
      </c>
      <c r="L55" s="872">
        <f t="shared" si="10"/>
        <v>36.977777777778556</v>
      </c>
      <c r="M55" s="872">
        <f t="shared" si="10"/>
        <v>38.422222222223461</v>
      </c>
      <c r="N55" s="872">
        <f t="shared" si="10"/>
        <v>26</v>
      </c>
      <c r="O55" s="872">
        <f t="shared" si="10"/>
        <v>28.31111111110944</v>
      </c>
      <c r="P55" s="872">
        <f t="shared" si="10"/>
        <v>29.755555555555361</v>
      </c>
      <c r="Q55" s="872">
        <f t="shared" si="10"/>
        <v>24.555555555554207</v>
      </c>
      <c r="R55" s="872">
        <f t="shared" si="10"/>
        <v>26.866666666665367</v>
      </c>
      <c r="S55" s="872">
        <f t="shared" si="10"/>
        <v>28.31111111110944</v>
      </c>
      <c r="T55" s="872">
        <f t="shared" si="10"/>
        <v>23.111111111110588</v>
      </c>
      <c r="U55" s="872">
        <f t="shared" si="9"/>
        <v>25.422222222222523</v>
      </c>
      <c r="V55" s="872">
        <f t="shared" si="9"/>
        <v>26.866666666665367</v>
      </c>
      <c r="W55" s="872">
        <f t="shared" si="9"/>
        <v>21.666666666666583</v>
      </c>
      <c r="X55" s="872">
        <f t="shared" si="9"/>
        <v>23.977777777778492</v>
      </c>
      <c r="Y55" s="872">
        <f t="shared" si="9"/>
        <v>25.422222222222523</v>
      </c>
      <c r="Z55" s="872">
        <f t="shared" si="9"/>
        <v>20.222222222223085</v>
      </c>
      <c r="AA55" s="872">
        <f t="shared" si="8"/>
        <v>22.53333333333277</v>
      </c>
      <c r="AB55" s="872">
        <f t="shared" si="8"/>
        <v>23.977777777778492</v>
      </c>
      <c r="AC55" s="872">
        <f t="shared" si="8"/>
        <v>18.777777777776937</v>
      </c>
      <c r="AD55" s="872">
        <f t="shared" si="8"/>
        <v>21.088888888888871</v>
      </c>
      <c r="AE55" s="872">
        <f t="shared" si="8"/>
        <v>22.53333333333277</v>
      </c>
      <c r="AF55" s="872">
        <f t="shared" si="8"/>
        <v>17.333333333333954</v>
      </c>
      <c r="AG55" s="872">
        <f t="shared" si="8"/>
        <v>19.644444444444179</v>
      </c>
      <c r="AH55" s="872">
        <f t="shared" si="7"/>
        <v>21.088888888888871</v>
      </c>
      <c r="AI55" s="872">
        <f t="shared" si="7"/>
        <v>15.888888888888404</v>
      </c>
      <c r="AJ55" s="872">
        <f t="shared" si="7"/>
        <v>18.20000000000082</v>
      </c>
      <c r="AK55" s="872">
        <f t="shared" si="7"/>
        <v>19.644444444444179</v>
      </c>
    </row>
    <row r="56" spans="1:37" ht="13.5" thickBot="1">
      <c r="A56" s="868"/>
      <c r="B56" s="868"/>
      <c r="C56" s="868"/>
      <c r="D56" s="873">
        <f t="shared" si="3"/>
        <v>0.1472222222222222</v>
      </c>
      <c r="E56" s="872">
        <f t="shared" si="11"/>
        <v>41.222222222223948</v>
      </c>
      <c r="F56" s="872">
        <f t="shared" si="11"/>
        <v>43.577777777778948</v>
      </c>
      <c r="G56" s="872">
        <f t="shared" si="11"/>
        <v>45.049999999999933</v>
      </c>
      <c r="H56" s="872">
        <f t="shared" si="11"/>
        <v>38.277777777776095</v>
      </c>
      <c r="I56" s="872">
        <f t="shared" si="11"/>
        <v>40.63333333333162</v>
      </c>
      <c r="J56" s="872">
        <f t="shared" si="10"/>
        <v>42.105555555554673</v>
      </c>
      <c r="K56" s="872">
        <f t="shared" si="10"/>
        <v>35.333333333334572</v>
      </c>
      <c r="L56" s="872">
        <f t="shared" si="10"/>
        <v>37.688888888889664</v>
      </c>
      <c r="M56" s="872">
        <f t="shared" si="10"/>
        <v>39.161111111112348</v>
      </c>
      <c r="N56" s="872">
        <f t="shared" si="10"/>
        <v>26.5</v>
      </c>
      <c r="O56" s="872">
        <f t="shared" si="10"/>
        <v>28.855555555553885</v>
      </c>
      <c r="P56" s="872">
        <f t="shared" si="10"/>
        <v>30.327777777777584</v>
      </c>
      <c r="Q56" s="872">
        <f t="shared" si="10"/>
        <v>25.027777777776429</v>
      </c>
      <c r="R56" s="872">
        <f t="shared" si="10"/>
        <v>27.383333333332033</v>
      </c>
      <c r="S56" s="872">
        <f t="shared" si="10"/>
        <v>28.855555555553885</v>
      </c>
      <c r="T56" s="872">
        <f t="shared" si="10"/>
        <v>23.555555555555031</v>
      </c>
      <c r="U56" s="872">
        <f t="shared" si="9"/>
        <v>25.91111111111141</v>
      </c>
      <c r="V56" s="872">
        <f t="shared" si="9"/>
        <v>27.383333333332033</v>
      </c>
      <c r="W56" s="872">
        <f t="shared" si="9"/>
        <v>22.08333333333325</v>
      </c>
      <c r="X56" s="872">
        <f t="shared" si="9"/>
        <v>24.438888888889604</v>
      </c>
      <c r="Y56" s="872">
        <f t="shared" si="9"/>
        <v>25.91111111111141</v>
      </c>
      <c r="Z56" s="872">
        <f t="shared" si="9"/>
        <v>20.611111111111974</v>
      </c>
      <c r="AA56" s="872">
        <f t="shared" si="8"/>
        <v>22.966666666666104</v>
      </c>
      <c r="AB56" s="872">
        <f t="shared" si="8"/>
        <v>24.438888888889604</v>
      </c>
      <c r="AC56" s="872">
        <f t="shared" si="8"/>
        <v>19.138888888888047</v>
      </c>
      <c r="AD56" s="872">
        <f t="shared" si="8"/>
        <v>21.494444444444426</v>
      </c>
      <c r="AE56" s="872">
        <f t="shared" si="8"/>
        <v>22.966666666666104</v>
      </c>
      <c r="AF56" s="872">
        <f t="shared" si="8"/>
        <v>17.666666666667286</v>
      </c>
      <c r="AG56" s="872">
        <f t="shared" si="8"/>
        <v>20.022222222221956</v>
      </c>
      <c r="AH56" s="872">
        <f t="shared" si="7"/>
        <v>21.494444444444426</v>
      </c>
      <c r="AI56" s="872">
        <f t="shared" si="7"/>
        <v>16.19444444444396</v>
      </c>
      <c r="AJ56" s="872">
        <f t="shared" si="7"/>
        <v>18.550000000000821</v>
      </c>
      <c r="AK56" s="872">
        <f t="shared" si="7"/>
        <v>20.022222222221956</v>
      </c>
    </row>
    <row r="57" spans="1:37" ht="13.5" thickBot="1">
      <c r="A57" s="868"/>
      <c r="B57" s="868"/>
      <c r="C57" s="868"/>
      <c r="D57" s="873">
        <f t="shared" si="3"/>
        <v>0.14999999999999997</v>
      </c>
      <c r="E57" s="872">
        <f t="shared" si="11"/>
        <v>42.000000000001727</v>
      </c>
      <c r="F57" s="872">
        <f t="shared" si="11"/>
        <v>44.400000000001171</v>
      </c>
      <c r="G57" s="872">
        <f t="shared" si="11"/>
        <v>45.899999999999935</v>
      </c>
      <c r="H57" s="872">
        <f t="shared" si="11"/>
        <v>38.999999999998316</v>
      </c>
      <c r="I57" s="872">
        <f t="shared" si="11"/>
        <v>41.399999999998286</v>
      </c>
      <c r="J57" s="872">
        <f t="shared" si="10"/>
        <v>42.899999999999118</v>
      </c>
      <c r="K57" s="872">
        <f t="shared" si="10"/>
        <v>36.000000000001236</v>
      </c>
      <c r="L57" s="872">
        <f t="shared" si="10"/>
        <v>38.400000000000773</v>
      </c>
      <c r="M57" s="872">
        <f t="shared" si="10"/>
        <v>39.900000000001235</v>
      </c>
      <c r="N57" s="872">
        <f t="shared" si="10"/>
        <v>27</v>
      </c>
      <c r="O57" s="872">
        <f t="shared" si="10"/>
        <v>29.399999999998329</v>
      </c>
      <c r="P57" s="872">
        <f t="shared" si="10"/>
        <v>30.899999999999807</v>
      </c>
      <c r="Q57" s="872">
        <f t="shared" si="10"/>
        <v>25.49999999999865</v>
      </c>
      <c r="R57" s="872">
        <f t="shared" si="10"/>
        <v>27.899999999998698</v>
      </c>
      <c r="S57" s="872">
        <f t="shared" si="10"/>
        <v>29.399999999998329</v>
      </c>
      <c r="T57" s="872">
        <f t="shared" si="10"/>
        <v>23.999999999999474</v>
      </c>
      <c r="U57" s="872">
        <f t="shared" si="9"/>
        <v>26.400000000000297</v>
      </c>
      <c r="V57" s="872">
        <f t="shared" si="9"/>
        <v>27.899999999998698</v>
      </c>
      <c r="W57" s="872">
        <f t="shared" si="9"/>
        <v>22.499999999999918</v>
      </c>
      <c r="X57" s="872">
        <f t="shared" si="9"/>
        <v>24.900000000000716</v>
      </c>
      <c r="Y57" s="872">
        <f t="shared" si="9"/>
        <v>26.400000000000297</v>
      </c>
      <c r="Z57" s="872">
        <f t="shared" si="9"/>
        <v>21.000000000000863</v>
      </c>
      <c r="AA57" s="872">
        <f t="shared" si="8"/>
        <v>23.399999999999437</v>
      </c>
      <c r="AB57" s="872">
        <f t="shared" si="8"/>
        <v>24.900000000000716</v>
      </c>
      <c r="AC57" s="872">
        <f t="shared" si="8"/>
        <v>19.499999999999158</v>
      </c>
      <c r="AD57" s="872">
        <f t="shared" si="8"/>
        <v>21.899999999999981</v>
      </c>
      <c r="AE57" s="872">
        <f t="shared" si="8"/>
        <v>23.399999999999437</v>
      </c>
      <c r="AF57" s="872">
        <f t="shared" si="8"/>
        <v>18.000000000000618</v>
      </c>
      <c r="AG57" s="872">
        <f t="shared" si="8"/>
        <v>20.399999999999732</v>
      </c>
      <c r="AH57" s="872">
        <f t="shared" si="7"/>
        <v>21.899999999999981</v>
      </c>
      <c r="AI57" s="872">
        <f t="shared" si="7"/>
        <v>16.499999999999517</v>
      </c>
      <c r="AJ57" s="872">
        <f t="shared" si="7"/>
        <v>18.900000000000823</v>
      </c>
      <c r="AK57" s="872">
        <f t="shared" si="7"/>
        <v>20.399999999999732</v>
      </c>
    </row>
    <row r="58" spans="1:37" ht="13.5" thickBot="1">
      <c r="A58" s="868"/>
      <c r="B58" s="868"/>
      <c r="C58" s="868"/>
      <c r="D58" s="873">
        <f t="shared" si="3"/>
        <v>0.15277777777777773</v>
      </c>
      <c r="E58" s="872">
        <f t="shared" si="11"/>
        <v>42.777777777779505</v>
      </c>
      <c r="F58" s="872">
        <f t="shared" si="11"/>
        <v>45.222222222223394</v>
      </c>
      <c r="G58" s="872">
        <f t="shared" si="11"/>
        <v>46.749999999999936</v>
      </c>
      <c r="H58" s="872">
        <f t="shared" si="11"/>
        <v>39.722222222220537</v>
      </c>
      <c r="I58" s="872">
        <f t="shared" si="11"/>
        <v>42.166666666664952</v>
      </c>
      <c r="J58" s="872">
        <f t="shared" si="10"/>
        <v>43.694444444443562</v>
      </c>
      <c r="K58" s="872">
        <f t="shared" si="10"/>
        <v>36.666666666667901</v>
      </c>
      <c r="L58" s="872">
        <f t="shared" si="10"/>
        <v>39.111111111111882</v>
      </c>
      <c r="M58" s="872">
        <f t="shared" si="10"/>
        <v>40.638888888890122</v>
      </c>
      <c r="N58" s="872">
        <f t="shared" si="10"/>
        <v>27.5</v>
      </c>
      <c r="O58" s="872">
        <f t="shared" si="10"/>
        <v>29.944444444442773</v>
      </c>
      <c r="P58" s="872">
        <f t="shared" si="10"/>
        <v>31.47222222222203</v>
      </c>
      <c r="Q58" s="872">
        <f t="shared" si="10"/>
        <v>25.972222222220871</v>
      </c>
      <c r="R58" s="872">
        <f t="shared" si="10"/>
        <v>28.416666666665364</v>
      </c>
      <c r="S58" s="872">
        <f t="shared" si="10"/>
        <v>29.944444444442773</v>
      </c>
      <c r="T58" s="872">
        <f t="shared" si="10"/>
        <v>24.444444444443917</v>
      </c>
      <c r="U58" s="872">
        <f t="shared" si="9"/>
        <v>26.888888888889184</v>
      </c>
      <c r="V58" s="872">
        <f t="shared" si="9"/>
        <v>28.416666666665364</v>
      </c>
      <c r="W58" s="872">
        <f t="shared" si="9"/>
        <v>22.916666666666586</v>
      </c>
      <c r="X58" s="872">
        <f t="shared" si="9"/>
        <v>25.361111111111828</v>
      </c>
      <c r="Y58" s="872">
        <f t="shared" si="9"/>
        <v>26.888888888889184</v>
      </c>
      <c r="Z58" s="872">
        <f t="shared" si="9"/>
        <v>21.388888888889753</v>
      </c>
      <c r="AA58" s="872">
        <f t="shared" si="8"/>
        <v>23.833333333332771</v>
      </c>
      <c r="AB58" s="872">
        <f t="shared" si="8"/>
        <v>25.361111111111828</v>
      </c>
      <c r="AC58" s="872">
        <f t="shared" si="8"/>
        <v>19.861111111110269</v>
      </c>
      <c r="AD58" s="872">
        <f t="shared" si="8"/>
        <v>22.305555555555536</v>
      </c>
      <c r="AE58" s="872">
        <f t="shared" si="8"/>
        <v>23.833333333332771</v>
      </c>
      <c r="AF58" s="872">
        <f t="shared" si="8"/>
        <v>18.33333333333395</v>
      </c>
      <c r="AG58" s="872">
        <f t="shared" si="8"/>
        <v>20.777777777777509</v>
      </c>
      <c r="AH58" s="872">
        <f t="shared" si="7"/>
        <v>22.305555555555536</v>
      </c>
      <c r="AI58" s="872">
        <f t="shared" si="7"/>
        <v>16.805555555555074</v>
      </c>
      <c r="AJ58" s="872">
        <f t="shared" si="7"/>
        <v>19.250000000000824</v>
      </c>
      <c r="AK58" s="872">
        <f t="shared" si="7"/>
        <v>20.777777777777509</v>
      </c>
    </row>
    <row r="59" spans="1:37" ht="13.5" thickBot="1">
      <c r="A59" s="868"/>
      <c r="B59" s="868"/>
      <c r="C59" s="868"/>
      <c r="D59" s="873">
        <f t="shared" si="3"/>
        <v>0.1555555555555555</v>
      </c>
      <c r="E59" s="872">
        <f t="shared" si="11"/>
        <v>43.555555555557284</v>
      </c>
      <c r="F59" s="872">
        <f t="shared" si="11"/>
        <v>46.044444444445617</v>
      </c>
      <c r="G59" s="872">
        <f t="shared" si="11"/>
        <v>47.599999999999937</v>
      </c>
      <c r="H59" s="872">
        <f t="shared" si="11"/>
        <v>40.444444444442759</v>
      </c>
      <c r="I59" s="872">
        <f t="shared" si="11"/>
        <v>42.933333333331618</v>
      </c>
      <c r="J59" s="872">
        <f t="shared" si="10"/>
        <v>44.488888888888006</v>
      </c>
      <c r="K59" s="872">
        <f t="shared" si="10"/>
        <v>37.333333333334565</v>
      </c>
      <c r="L59" s="872">
        <f t="shared" si="10"/>
        <v>39.82222222222299</v>
      </c>
      <c r="M59" s="872">
        <f t="shared" si="10"/>
        <v>41.377777777779009</v>
      </c>
      <c r="N59" s="872">
        <f t="shared" si="10"/>
        <v>28</v>
      </c>
      <c r="O59" s="872">
        <f t="shared" si="10"/>
        <v>30.488888888887217</v>
      </c>
      <c r="P59" s="872">
        <f t="shared" si="10"/>
        <v>32.044444444444252</v>
      </c>
      <c r="Q59" s="872">
        <f t="shared" si="10"/>
        <v>26.444444444443093</v>
      </c>
      <c r="R59" s="872">
        <f t="shared" si="10"/>
        <v>28.93333333333203</v>
      </c>
      <c r="S59" s="872">
        <f t="shared" si="10"/>
        <v>30.488888888887217</v>
      </c>
      <c r="T59" s="872">
        <f t="shared" si="10"/>
        <v>24.88888888888836</v>
      </c>
      <c r="U59" s="872">
        <f t="shared" si="9"/>
        <v>27.377777777778071</v>
      </c>
      <c r="V59" s="872">
        <f t="shared" si="9"/>
        <v>28.93333333333203</v>
      </c>
      <c r="W59" s="872">
        <f t="shared" si="9"/>
        <v>23.333333333333254</v>
      </c>
      <c r="X59" s="872">
        <f t="shared" si="9"/>
        <v>25.822222222222941</v>
      </c>
      <c r="Y59" s="872">
        <f t="shared" si="9"/>
        <v>27.377777777778071</v>
      </c>
      <c r="Z59" s="872">
        <f t="shared" si="9"/>
        <v>21.777777777778642</v>
      </c>
      <c r="AA59" s="872">
        <f t="shared" si="8"/>
        <v>24.266666666666104</v>
      </c>
      <c r="AB59" s="872">
        <f t="shared" si="8"/>
        <v>25.822222222222941</v>
      </c>
      <c r="AC59" s="872">
        <f t="shared" si="8"/>
        <v>20.222222222221379</v>
      </c>
      <c r="AD59" s="872">
        <f t="shared" si="8"/>
        <v>22.711111111111091</v>
      </c>
      <c r="AE59" s="872">
        <f t="shared" si="8"/>
        <v>24.266666666666104</v>
      </c>
      <c r="AF59" s="872">
        <f t="shared" si="8"/>
        <v>18.666666666667282</v>
      </c>
      <c r="AG59" s="872">
        <f t="shared" si="8"/>
        <v>21.155555555555285</v>
      </c>
      <c r="AH59" s="872">
        <f t="shared" si="7"/>
        <v>22.711111111111091</v>
      </c>
      <c r="AI59" s="872">
        <f t="shared" si="7"/>
        <v>17.111111111110631</v>
      </c>
      <c r="AJ59" s="872">
        <f t="shared" si="7"/>
        <v>19.600000000000826</v>
      </c>
      <c r="AK59" s="872">
        <f t="shared" si="7"/>
        <v>21.155555555555285</v>
      </c>
    </row>
    <row r="60" spans="1:37" ht="13.5" thickBot="1">
      <c r="A60" s="868"/>
      <c r="B60" s="868"/>
      <c r="C60" s="868"/>
      <c r="D60" s="873">
        <f t="shared" si="3"/>
        <v>0.15833333333333327</v>
      </c>
      <c r="E60" s="872">
        <f t="shared" si="11"/>
        <v>44.333333333335062</v>
      </c>
      <c r="F60" s="872">
        <f t="shared" si="11"/>
        <v>46.86666666666784</v>
      </c>
      <c r="G60" s="872">
        <f t="shared" si="11"/>
        <v>48.449999999999939</v>
      </c>
      <c r="H60" s="872">
        <f t="shared" si="11"/>
        <v>41.16666666666498</v>
      </c>
      <c r="I60" s="872">
        <f t="shared" si="11"/>
        <v>43.699999999998283</v>
      </c>
      <c r="J60" s="872">
        <f t="shared" si="10"/>
        <v>45.28333333333245</v>
      </c>
      <c r="K60" s="872">
        <f t="shared" si="10"/>
        <v>38.000000000001229</v>
      </c>
      <c r="L60" s="872">
        <f t="shared" si="10"/>
        <v>40.533333333334099</v>
      </c>
      <c r="M60" s="872">
        <f t="shared" si="10"/>
        <v>42.116666666667896</v>
      </c>
      <c r="N60" s="872">
        <f t="shared" si="10"/>
        <v>28.5</v>
      </c>
      <c r="O60" s="872">
        <f t="shared" si="10"/>
        <v>31.033333333331662</v>
      </c>
      <c r="P60" s="872">
        <f t="shared" si="10"/>
        <v>32.616666666666475</v>
      </c>
      <c r="Q60" s="872">
        <f t="shared" si="10"/>
        <v>26.916666666665314</v>
      </c>
      <c r="R60" s="872">
        <f t="shared" si="10"/>
        <v>29.449999999998695</v>
      </c>
      <c r="S60" s="872">
        <f t="shared" si="10"/>
        <v>31.033333333331662</v>
      </c>
      <c r="T60" s="872">
        <f t="shared" si="10"/>
        <v>25.333333333332803</v>
      </c>
      <c r="U60" s="872">
        <f t="shared" si="9"/>
        <v>27.866666666666958</v>
      </c>
      <c r="V60" s="872">
        <f t="shared" si="9"/>
        <v>29.449999999998695</v>
      </c>
      <c r="W60" s="872">
        <f t="shared" si="9"/>
        <v>23.749999999999922</v>
      </c>
      <c r="X60" s="872">
        <f t="shared" si="9"/>
        <v>26.283333333334053</v>
      </c>
      <c r="Y60" s="872">
        <f t="shared" si="9"/>
        <v>27.866666666666958</v>
      </c>
      <c r="Z60" s="872">
        <f t="shared" si="9"/>
        <v>22.166666666667531</v>
      </c>
      <c r="AA60" s="872">
        <f t="shared" si="8"/>
        <v>24.699999999999438</v>
      </c>
      <c r="AB60" s="872">
        <f t="shared" si="8"/>
        <v>26.283333333334053</v>
      </c>
      <c r="AC60" s="872">
        <f t="shared" si="8"/>
        <v>20.58333333333249</v>
      </c>
      <c r="AD60" s="872">
        <f t="shared" si="8"/>
        <v>23.116666666666646</v>
      </c>
      <c r="AE60" s="872">
        <f t="shared" si="8"/>
        <v>24.699999999999438</v>
      </c>
      <c r="AF60" s="872">
        <f t="shared" si="8"/>
        <v>19.000000000000615</v>
      </c>
      <c r="AG60" s="872">
        <f t="shared" si="8"/>
        <v>21.533333333333061</v>
      </c>
      <c r="AH60" s="872">
        <f t="shared" si="7"/>
        <v>23.116666666666646</v>
      </c>
      <c r="AI60" s="872">
        <f t="shared" si="7"/>
        <v>17.416666666666188</v>
      </c>
      <c r="AJ60" s="872">
        <f t="shared" si="7"/>
        <v>19.950000000000827</v>
      </c>
      <c r="AK60" s="872">
        <f t="shared" si="7"/>
        <v>21.533333333333061</v>
      </c>
    </row>
    <row r="61" spans="1:37" ht="13.5" thickBot="1">
      <c r="A61" s="868"/>
      <c r="B61" s="868"/>
      <c r="C61" s="868"/>
      <c r="D61" s="873">
        <f t="shared" si="3"/>
        <v>0.16111111111111104</v>
      </c>
      <c r="E61" s="872">
        <f t="shared" si="11"/>
        <v>45.111111111112841</v>
      </c>
      <c r="F61" s="872">
        <f t="shared" si="11"/>
        <v>47.688888888890062</v>
      </c>
      <c r="G61" s="872">
        <f t="shared" si="11"/>
        <v>49.29999999999994</v>
      </c>
      <c r="H61" s="872">
        <f t="shared" si="11"/>
        <v>41.888888888887202</v>
      </c>
      <c r="I61" s="872">
        <f t="shared" si="11"/>
        <v>44.466666666664949</v>
      </c>
      <c r="J61" s="872">
        <f t="shared" si="10"/>
        <v>46.077777777776895</v>
      </c>
      <c r="K61" s="872">
        <f t="shared" si="10"/>
        <v>38.666666666667894</v>
      </c>
      <c r="L61" s="872">
        <f t="shared" si="10"/>
        <v>41.244444444445207</v>
      </c>
      <c r="M61" s="872">
        <f t="shared" si="10"/>
        <v>42.855555555556784</v>
      </c>
      <c r="N61" s="872">
        <f t="shared" si="10"/>
        <v>29</v>
      </c>
      <c r="O61" s="872">
        <f t="shared" si="10"/>
        <v>31.577777777776106</v>
      </c>
      <c r="P61" s="872">
        <f t="shared" si="10"/>
        <v>33.188888888888698</v>
      </c>
      <c r="Q61" s="872">
        <f t="shared" si="10"/>
        <v>27.388888888887536</v>
      </c>
      <c r="R61" s="872">
        <f t="shared" si="10"/>
        <v>29.966666666665361</v>
      </c>
      <c r="S61" s="872">
        <f t="shared" si="10"/>
        <v>31.577777777776106</v>
      </c>
      <c r="T61" s="872">
        <f t="shared" si="10"/>
        <v>25.777777777777246</v>
      </c>
      <c r="U61" s="872">
        <f t="shared" si="9"/>
        <v>28.355555555555846</v>
      </c>
      <c r="V61" s="872">
        <f t="shared" si="9"/>
        <v>29.966666666665361</v>
      </c>
      <c r="W61" s="872">
        <f t="shared" si="9"/>
        <v>24.16666666666659</v>
      </c>
      <c r="X61" s="872">
        <f t="shared" si="9"/>
        <v>26.744444444445165</v>
      </c>
      <c r="Y61" s="872">
        <f t="shared" si="9"/>
        <v>28.355555555555846</v>
      </c>
      <c r="Z61" s="872">
        <f t="shared" si="9"/>
        <v>22.55555555555642</v>
      </c>
      <c r="AA61" s="872">
        <f t="shared" si="8"/>
        <v>25.133333333332772</v>
      </c>
      <c r="AB61" s="872">
        <f t="shared" si="8"/>
        <v>26.744444444445165</v>
      </c>
      <c r="AC61" s="872">
        <f t="shared" si="8"/>
        <v>20.944444444443601</v>
      </c>
      <c r="AD61" s="872">
        <f t="shared" si="8"/>
        <v>23.522222222222201</v>
      </c>
      <c r="AE61" s="872">
        <f t="shared" si="8"/>
        <v>25.133333333332772</v>
      </c>
      <c r="AF61" s="872">
        <f t="shared" si="8"/>
        <v>19.333333333333947</v>
      </c>
      <c r="AG61" s="872">
        <f t="shared" si="8"/>
        <v>21.911111111110838</v>
      </c>
      <c r="AH61" s="872">
        <f t="shared" si="7"/>
        <v>23.522222222222201</v>
      </c>
      <c r="AI61" s="872">
        <f t="shared" si="7"/>
        <v>17.722222222221745</v>
      </c>
      <c r="AJ61" s="872">
        <f t="shared" si="7"/>
        <v>20.300000000000828</v>
      </c>
      <c r="AK61" s="872">
        <f t="shared" si="7"/>
        <v>21.911111111110838</v>
      </c>
    </row>
    <row r="62" spans="1:37" ht="13.5" thickBot="1">
      <c r="A62" s="868"/>
      <c r="B62" s="868"/>
      <c r="C62" s="868"/>
      <c r="D62" s="873">
        <f t="shared" si="3"/>
        <v>0.16388888888888881</v>
      </c>
      <c r="E62" s="872">
        <f t="shared" si="11"/>
        <v>45.888888888890619</v>
      </c>
      <c r="F62" s="872">
        <f t="shared" si="11"/>
        <v>48.511111111112285</v>
      </c>
      <c r="G62" s="872">
        <f t="shared" si="11"/>
        <v>50.149999999999942</v>
      </c>
      <c r="H62" s="872">
        <f t="shared" si="11"/>
        <v>42.611111111109423</v>
      </c>
      <c r="I62" s="872">
        <f t="shared" si="11"/>
        <v>45.233333333331615</v>
      </c>
      <c r="J62" s="872">
        <f t="shared" si="10"/>
        <v>46.872222222221339</v>
      </c>
      <c r="K62" s="872">
        <f t="shared" si="10"/>
        <v>39.333333333334558</v>
      </c>
      <c r="L62" s="872">
        <f t="shared" si="10"/>
        <v>41.955555555556316</v>
      </c>
      <c r="M62" s="872">
        <f t="shared" si="10"/>
        <v>43.594444444445671</v>
      </c>
      <c r="N62" s="872">
        <f t="shared" si="10"/>
        <v>29.5</v>
      </c>
      <c r="O62" s="872">
        <f t="shared" si="10"/>
        <v>32.12222222222055</v>
      </c>
      <c r="P62" s="872">
        <f t="shared" si="10"/>
        <v>33.761111111110921</v>
      </c>
      <c r="Q62" s="872">
        <f t="shared" si="10"/>
        <v>27.861111111109757</v>
      </c>
      <c r="R62" s="872">
        <f t="shared" si="10"/>
        <v>30.483333333332027</v>
      </c>
      <c r="S62" s="872">
        <f t="shared" si="10"/>
        <v>32.12222222222055</v>
      </c>
      <c r="T62" s="872">
        <f t="shared" si="10"/>
        <v>26.222222222221689</v>
      </c>
      <c r="U62" s="872">
        <f t="shared" si="9"/>
        <v>28.844444444444733</v>
      </c>
      <c r="V62" s="872">
        <f t="shared" si="9"/>
        <v>30.483333333332027</v>
      </c>
      <c r="W62" s="872">
        <f t="shared" si="9"/>
        <v>24.583333333333258</v>
      </c>
      <c r="X62" s="872">
        <f t="shared" si="9"/>
        <v>27.205555555556277</v>
      </c>
      <c r="Y62" s="872">
        <f t="shared" si="9"/>
        <v>28.844444444444733</v>
      </c>
      <c r="Z62" s="872">
        <f t="shared" si="9"/>
        <v>22.94444444444531</v>
      </c>
      <c r="AA62" s="872">
        <f t="shared" si="8"/>
        <v>25.566666666666105</v>
      </c>
      <c r="AB62" s="872">
        <f t="shared" si="8"/>
        <v>27.205555555556277</v>
      </c>
      <c r="AC62" s="872">
        <f t="shared" si="8"/>
        <v>21.305555555554712</v>
      </c>
      <c r="AD62" s="872">
        <f t="shared" si="8"/>
        <v>23.927777777777756</v>
      </c>
      <c r="AE62" s="872">
        <f t="shared" si="8"/>
        <v>25.566666666666105</v>
      </c>
      <c r="AF62" s="872">
        <f t="shared" si="8"/>
        <v>19.666666666667279</v>
      </c>
      <c r="AG62" s="872">
        <f t="shared" si="8"/>
        <v>22.288888888888614</v>
      </c>
      <c r="AH62" s="872">
        <f t="shared" si="7"/>
        <v>23.927777777777756</v>
      </c>
      <c r="AI62" s="872">
        <f t="shared" si="7"/>
        <v>18.027777777777303</v>
      </c>
      <c r="AJ62" s="872">
        <f t="shared" si="7"/>
        <v>20.65000000000083</v>
      </c>
      <c r="AK62" s="872">
        <f t="shared" si="7"/>
        <v>22.288888888888614</v>
      </c>
    </row>
    <row r="63" spans="1:37" ht="13.5" thickBot="1">
      <c r="A63" s="868"/>
      <c r="B63" s="868"/>
      <c r="C63" s="868"/>
      <c r="D63" s="873">
        <f t="shared" si="3"/>
        <v>0.16666666666666657</v>
      </c>
      <c r="E63" s="872">
        <f t="shared" si="11"/>
        <v>46.666666666668398</v>
      </c>
      <c r="F63" s="872">
        <f t="shared" si="11"/>
        <v>49.333333333334508</v>
      </c>
      <c r="G63" s="872">
        <f t="shared" si="11"/>
        <v>50.999999999999943</v>
      </c>
      <c r="H63" s="872">
        <f t="shared" si="11"/>
        <v>43.333333333331645</v>
      </c>
      <c r="I63" s="872">
        <f t="shared" si="11"/>
        <v>45.99999999999828</v>
      </c>
      <c r="J63" s="872">
        <f t="shared" si="10"/>
        <v>47.666666666665783</v>
      </c>
      <c r="K63" s="872">
        <f t="shared" si="10"/>
        <v>40.000000000001222</v>
      </c>
      <c r="L63" s="872">
        <f t="shared" si="10"/>
        <v>42.666666666667425</v>
      </c>
      <c r="M63" s="872">
        <f t="shared" si="10"/>
        <v>44.333333333334558</v>
      </c>
      <c r="N63" s="872">
        <f t="shared" si="10"/>
        <v>30</v>
      </c>
      <c r="O63" s="872">
        <f t="shared" si="10"/>
        <v>32.666666666664995</v>
      </c>
      <c r="P63" s="872">
        <f t="shared" si="10"/>
        <v>34.333333333333144</v>
      </c>
      <c r="Q63" s="872">
        <f t="shared" si="10"/>
        <v>28.333333333331979</v>
      </c>
      <c r="R63" s="872">
        <f t="shared" si="10"/>
        <v>30.999999999998693</v>
      </c>
      <c r="S63" s="872">
        <f t="shared" si="10"/>
        <v>32.666666666664995</v>
      </c>
      <c r="T63" s="872">
        <f t="shared" si="10"/>
        <v>26.666666666666131</v>
      </c>
      <c r="U63" s="872">
        <f t="shared" si="9"/>
        <v>29.33333333333362</v>
      </c>
      <c r="V63" s="872">
        <f t="shared" si="9"/>
        <v>30.999999999998693</v>
      </c>
      <c r="W63" s="872">
        <f t="shared" si="9"/>
        <v>24.999999999999925</v>
      </c>
      <c r="X63" s="872">
        <f t="shared" si="9"/>
        <v>27.666666666667389</v>
      </c>
      <c r="Y63" s="872">
        <f t="shared" si="9"/>
        <v>29.33333333333362</v>
      </c>
      <c r="Z63" s="872">
        <f t="shared" si="9"/>
        <v>23.333333333334199</v>
      </c>
      <c r="AA63" s="872">
        <f t="shared" si="8"/>
        <v>25.999999999999439</v>
      </c>
      <c r="AB63" s="872">
        <f t="shared" si="8"/>
        <v>27.666666666667389</v>
      </c>
      <c r="AC63" s="872">
        <f t="shared" si="8"/>
        <v>21.666666666665822</v>
      </c>
      <c r="AD63" s="872">
        <f t="shared" si="8"/>
        <v>24.333333333333311</v>
      </c>
      <c r="AE63" s="872">
        <f t="shared" si="8"/>
        <v>25.999999999999439</v>
      </c>
      <c r="AF63" s="872">
        <f t="shared" si="8"/>
        <v>20.000000000000611</v>
      </c>
      <c r="AG63" s="872">
        <f t="shared" si="8"/>
        <v>22.666666666666391</v>
      </c>
      <c r="AH63" s="872">
        <f t="shared" si="7"/>
        <v>24.333333333333311</v>
      </c>
      <c r="AI63" s="872">
        <f t="shared" si="7"/>
        <v>18.33333333333286</v>
      </c>
      <c r="AJ63" s="872">
        <f t="shared" si="7"/>
        <v>21.000000000000831</v>
      </c>
      <c r="AK63" s="872">
        <f t="shared" si="7"/>
        <v>22.666666666666391</v>
      </c>
    </row>
    <row r="64" spans="1:37" ht="13.5" thickBot="1">
      <c r="A64" s="868"/>
      <c r="B64" s="868"/>
      <c r="C64" s="868"/>
      <c r="D64" s="873">
        <f t="shared" si="3"/>
        <v>0.16944444444444434</v>
      </c>
      <c r="E64" s="872">
        <f t="shared" si="11"/>
        <v>47.444444444446177</v>
      </c>
      <c r="F64" s="872">
        <f t="shared" si="11"/>
        <v>50.155555555556731</v>
      </c>
      <c r="G64" s="872">
        <f t="shared" si="11"/>
        <v>51.849999999999945</v>
      </c>
      <c r="H64" s="872">
        <f t="shared" si="11"/>
        <v>44.055555555553866</v>
      </c>
      <c r="I64" s="872">
        <f t="shared" si="11"/>
        <v>46.766666666664946</v>
      </c>
      <c r="J64" s="872">
        <f t="shared" si="10"/>
        <v>48.461111111110228</v>
      </c>
      <c r="K64" s="872">
        <f t="shared" si="10"/>
        <v>40.666666666667886</v>
      </c>
      <c r="L64" s="872">
        <f t="shared" si="10"/>
        <v>43.377777777778533</v>
      </c>
      <c r="M64" s="872">
        <f t="shared" si="10"/>
        <v>45.072222222223445</v>
      </c>
      <c r="N64" s="872">
        <f t="shared" si="10"/>
        <v>30.5</v>
      </c>
      <c r="O64" s="872">
        <f t="shared" si="10"/>
        <v>33.211111111109439</v>
      </c>
      <c r="P64" s="872">
        <f t="shared" si="10"/>
        <v>34.905555555555367</v>
      </c>
      <c r="Q64" s="872">
        <f t="shared" si="10"/>
        <v>28.8055555555542</v>
      </c>
      <c r="R64" s="872">
        <f t="shared" si="10"/>
        <v>31.516666666665358</v>
      </c>
      <c r="S64" s="872">
        <f t="shared" si="10"/>
        <v>33.211111111109439</v>
      </c>
      <c r="T64" s="872">
        <f t="shared" si="10"/>
        <v>27.111111111110574</v>
      </c>
      <c r="U64" s="872">
        <f t="shared" si="9"/>
        <v>29.822222222222507</v>
      </c>
      <c r="V64" s="872">
        <f t="shared" si="9"/>
        <v>31.516666666665358</v>
      </c>
      <c r="W64" s="872">
        <f t="shared" si="9"/>
        <v>25.416666666666593</v>
      </c>
      <c r="X64" s="872">
        <f t="shared" si="9"/>
        <v>28.127777777778501</v>
      </c>
      <c r="Y64" s="872">
        <f t="shared" si="9"/>
        <v>29.822222222222507</v>
      </c>
      <c r="Z64" s="872">
        <f t="shared" si="9"/>
        <v>23.722222222223088</v>
      </c>
      <c r="AA64" s="872">
        <f t="shared" si="8"/>
        <v>26.433333333332772</v>
      </c>
      <c r="AB64" s="872">
        <f t="shared" si="8"/>
        <v>28.127777777778501</v>
      </c>
      <c r="AC64" s="872">
        <f t="shared" si="8"/>
        <v>22.027777777776933</v>
      </c>
      <c r="AD64" s="872">
        <f t="shared" si="8"/>
        <v>24.738888888888866</v>
      </c>
      <c r="AE64" s="872">
        <f t="shared" si="8"/>
        <v>26.433333333332772</v>
      </c>
      <c r="AF64" s="872">
        <f t="shared" si="8"/>
        <v>20.333333333333943</v>
      </c>
      <c r="AG64" s="872">
        <f t="shared" si="8"/>
        <v>23.044444444444167</v>
      </c>
      <c r="AH64" s="872">
        <f t="shared" si="7"/>
        <v>24.738888888888866</v>
      </c>
      <c r="AI64" s="872">
        <f t="shared" si="7"/>
        <v>18.638888888888417</v>
      </c>
      <c r="AJ64" s="872">
        <f t="shared" si="7"/>
        <v>21.350000000000833</v>
      </c>
      <c r="AK64" s="872">
        <f t="shared" si="7"/>
        <v>23.044444444444167</v>
      </c>
    </row>
    <row r="65" spans="1:37" ht="13.5" thickBot="1">
      <c r="A65" s="868"/>
      <c r="B65" s="868"/>
      <c r="C65" s="868"/>
      <c r="D65" s="873">
        <f t="shared" si="3"/>
        <v>0.17222222222222211</v>
      </c>
      <c r="E65" s="872">
        <f t="shared" si="11"/>
        <v>48.222222222223955</v>
      </c>
      <c r="F65" s="872">
        <f t="shared" si="11"/>
        <v>50.977777777778954</v>
      </c>
      <c r="G65" s="872">
        <f t="shared" si="11"/>
        <v>52.699999999999946</v>
      </c>
      <c r="H65" s="872">
        <f t="shared" si="11"/>
        <v>44.777777777776087</v>
      </c>
      <c r="I65" s="872">
        <f t="shared" si="11"/>
        <v>47.533333333331612</v>
      </c>
      <c r="J65" s="872">
        <f t="shared" si="10"/>
        <v>49.255555555554672</v>
      </c>
      <c r="K65" s="872">
        <f t="shared" si="10"/>
        <v>41.333333333334551</v>
      </c>
      <c r="L65" s="872">
        <f t="shared" si="10"/>
        <v>44.088888888889642</v>
      </c>
      <c r="M65" s="872">
        <f t="shared" si="10"/>
        <v>45.811111111112332</v>
      </c>
      <c r="N65" s="872">
        <f t="shared" si="10"/>
        <v>31</v>
      </c>
      <c r="O65" s="872">
        <f t="shared" si="10"/>
        <v>33.755555555553883</v>
      </c>
      <c r="P65" s="872">
        <f t="shared" si="10"/>
        <v>35.47777777777759</v>
      </c>
      <c r="Q65" s="872">
        <f t="shared" si="10"/>
        <v>29.277777777776421</v>
      </c>
      <c r="R65" s="872">
        <f t="shared" si="10"/>
        <v>32.033333333332024</v>
      </c>
      <c r="S65" s="872">
        <f t="shared" si="10"/>
        <v>33.755555555553883</v>
      </c>
      <c r="T65" s="872">
        <f t="shared" si="10"/>
        <v>27.555555555555017</v>
      </c>
      <c r="U65" s="872">
        <f t="shared" si="9"/>
        <v>30.311111111111394</v>
      </c>
      <c r="V65" s="872">
        <f t="shared" si="9"/>
        <v>32.033333333332024</v>
      </c>
      <c r="W65" s="872">
        <f t="shared" si="9"/>
        <v>25.833333333333261</v>
      </c>
      <c r="X65" s="872">
        <f t="shared" si="9"/>
        <v>28.588888888889613</v>
      </c>
      <c r="Y65" s="872">
        <f t="shared" si="9"/>
        <v>30.311111111111394</v>
      </c>
      <c r="Z65" s="872">
        <f t="shared" si="9"/>
        <v>24.111111111111978</v>
      </c>
      <c r="AA65" s="872">
        <f t="shared" si="8"/>
        <v>26.866666666666106</v>
      </c>
      <c r="AB65" s="872">
        <f t="shared" si="8"/>
        <v>28.588888888889613</v>
      </c>
      <c r="AC65" s="872">
        <f t="shared" si="8"/>
        <v>22.388888888888044</v>
      </c>
      <c r="AD65" s="872">
        <f t="shared" si="8"/>
        <v>25.144444444444421</v>
      </c>
      <c r="AE65" s="872">
        <f t="shared" si="8"/>
        <v>26.866666666666106</v>
      </c>
      <c r="AF65" s="872">
        <f t="shared" si="8"/>
        <v>20.666666666667275</v>
      </c>
      <c r="AG65" s="872">
        <f t="shared" si="8"/>
        <v>23.422222222221944</v>
      </c>
      <c r="AH65" s="872">
        <f t="shared" si="7"/>
        <v>25.144444444444421</v>
      </c>
      <c r="AI65" s="872">
        <f t="shared" si="7"/>
        <v>18.944444444443974</v>
      </c>
      <c r="AJ65" s="872">
        <f t="shared" si="7"/>
        <v>21.700000000000834</v>
      </c>
      <c r="AK65" s="872">
        <f t="shared" si="7"/>
        <v>23.422222222221944</v>
      </c>
    </row>
    <row r="66" spans="1:37" ht="13.5" thickBot="1">
      <c r="A66" s="868"/>
      <c r="B66" s="868"/>
      <c r="C66" s="868"/>
      <c r="D66" s="873">
        <f t="shared" si="3"/>
        <v>0.17499999999999988</v>
      </c>
      <c r="E66" s="872">
        <f t="shared" si="11"/>
        <v>49.000000000001734</v>
      </c>
      <c r="F66" s="872">
        <f t="shared" si="11"/>
        <v>51.800000000001177</v>
      </c>
      <c r="G66" s="872">
        <f t="shared" si="11"/>
        <v>53.549999999999947</v>
      </c>
      <c r="H66" s="872">
        <f t="shared" si="11"/>
        <v>45.499999999998309</v>
      </c>
      <c r="I66" s="872">
        <f t="shared" si="11"/>
        <v>48.299999999998278</v>
      </c>
      <c r="J66" s="872">
        <f t="shared" si="10"/>
        <v>50.049999999999116</v>
      </c>
      <c r="K66" s="872">
        <f t="shared" si="10"/>
        <v>42.000000000001215</v>
      </c>
      <c r="L66" s="872">
        <f t="shared" si="10"/>
        <v>44.80000000000075</v>
      </c>
      <c r="M66" s="872">
        <f t="shared" si="10"/>
        <v>46.550000000001219</v>
      </c>
      <c r="N66" s="872">
        <f t="shared" si="10"/>
        <v>31.5</v>
      </c>
      <c r="O66" s="872">
        <f t="shared" si="10"/>
        <v>34.299999999998327</v>
      </c>
      <c r="P66" s="872">
        <f t="shared" si="10"/>
        <v>36.049999999999812</v>
      </c>
      <c r="Q66" s="872">
        <f t="shared" si="10"/>
        <v>29.749999999998643</v>
      </c>
      <c r="R66" s="872">
        <f t="shared" si="10"/>
        <v>32.54999999999869</v>
      </c>
      <c r="S66" s="872">
        <f t="shared" si="10"/>
        <v>34.299999999998327</v>
      </c>
      <c r="T66" s="872">
        <f t="shared" si="10"/>
        <v>27.99999999999946</v>
      </c>
      <c r="U66" s="872">
        <f t="shared" si="9"/>
        <v>30.800000000000281</v>
      </c>
      <c r="V66" s="872">
        <f t="shared" si="9"/>
        <v>32.54999999999869</v>
      </c>
      <c r="W66" s="872">
        <f t="shared" si="9"/>
        <v>26.249999999999929</v>
      </c>
      <c r="X66" s="872">
        <f t="shared" si="9"/>
        <v>29.050000000000725</v>
      </c>
      <c r="Y66" s="872">
        <f t="shared" si="9"/>
        <v>30.800000000000281</v>
      </c>
      <c r="Z66" s="872">
        <f t="shared" si="9"/>
        <v>24.500000000000867</v>
      </c>
      <c r="AA66" s="872">
        <f t="shared" si="8"/>
        <v>27.299999999999439</v>
      </c>
      <c r="AB66" s="872">
        <f t="shared" si="8"/>
        <v>29.050000000000725</v>
      </c>
      <c r="AC66" s="872">
        <f t="shared" si="8"/>
        <v>22.749999999999154</v>
      </c>
      <c r="AD66" s="872">
        <f t="shared" si="8"/>
        <v>25.549999999999976</v>
      </c>
      <c r="AE66" s="872">
        <f t="shared" si="8"/>
        <v>27.299999999999439</v>
      </c>
      <c r="AF66" s="872">
        <f t="shared" si="8"/>
        <v>21.000000000000608</v>
      </c>
      <c r="AG66" s="872">
        <f t="shared" si="8"/>
        <v>23.79999999999972</v>
      </c>
      <c r="AH66" s="872">
        <f t="shared" si="7"/>
        <v>25.549999999999976</v>
      </c>
      <c r="AI66" s="872">
        <f t="shared" si="7"/>
        <v>19.249999999999531</v>
      </c>
      <c r="AJ66" s="872">
        <f t="shared" si="7"/>
        <v>22.050000000000836</v>
      </c>
      <c r="AK66" s="872">
        <f t="shared" si="7"/>
        <v>23.79999999999972</v>
      </c>
    </row>
    <row r="67" spans="1:37" ht="13.5" thickBot="1">
      <c r="A67" s="868"/>
      <c r="B67" s="868"/>
      <c r="C67" s="868"/>
      <c r="D67" s="873">
        <f t="shared" si="3"/>
        <v>0.17777777777777765</v>
      </c>
      <c r="E67" s="872">
        <f t="shared" si="11"/>
        <v>49.777777777779512</v>
      </c>
      <c r="F67" s="872">
        <f t="shared" si="11"/>
        <v>52.6222222222234</v>
      </c>
      <c r="G67" s="872">
        <f t="shared" si="11"/>
        <v>54.399999999999949</v>
      </c>
      <c r="H67" s="872">
        <f t="shared" si="11"/>
        <v>46.22222222222053</v>
      </c>
      <c r="I67" s="872">
        <f t="shared" si="11"/>
        <v>49.066666666664943</v>
      </c>
      <c r="J67" s="872">
        <f t="shared" si="10"/>
        <v>50.84444444444356</v>
      </c>
      <c r="K67" s="872">
        <f t="shared" si="10"/>
        <v>42.666666666667879</v>
      </c>
      <c r="L67" s="872">
        <f t="shared" si="10"/>
        <v>45.511111111111859</v>
      </c>
      <c r="M67" s="872">
        <f t="shared" si="10"/>
        <v>47.288888888890106</v>
      </c>
      <c r="N67" s="872">
        <f t="shared" si="10"/>
        <v>32</v>
      </c>
      <c r="O67" s="872">
        <f t="shared" si="10"/>
        <v>34.844444444442772</v>
      </c>
      <c r="P67" s="872">
        <f t="shared" si="10"/>
        <v>36.622222222222035</v>
      </c>
      <c r="Q67" s="872">
        <f t="shared" si="10"/>
        <v>30.222222222220864</v>
      </c>
      <c r="R67" s="872">
        <f t="shared" si="10"/>
        <v>33.066666666665355</v>
      </c>
      <c r="S67" s="872">
        <f t="shared" si="10"/>
        <v>34.844444444442772</v>
      </c>
      <c r="T67" s="872">
        <f t="shared" si="10"/>
        <v>28.444444444443903</v>
      </c>
      <c r="U67" s="872">
        <f t="shared" si="9"/>
        <v>31.288888888889169</v>
      </c>
      <c r="V67" s="872">
        <f t="shared" si="9"/>
        <v>33.066666666665355</v>
      </c>
      <c r="W67" s="872">
        <f t="shared" si="9"/>
        <v>26.666666666666597</v>
      </c>
      <c r="X67" s="872">
        <f t="shared" si="9"/>
        <v>29.511111111111838</v>
      </c>
      <c r="Y67" s="872">
        <f t="shared" si="9"/>
        <v>31.288888888889169</v>
      </c>
      <c r="Z67" s="872">
        <f t="shared" si="9"/>
        <v>24.888888888889756</v>
      </c>
      <c r="AA67" s="872">
        <f t="shared" si="8"/>
        <v>27.733333333332773</v>
      </c>
      <c r="AB67" s="872">
        <f t="shared" si="8"/>
        <v>29.511111111111838</v>
      </c>
      <c r="AC67" s="872">
        <f t="shared" si="8"/>
        <v>23.111111111110265</v>
      </c>
      <c r="AD67" s="872">
        <f t="shared" si="8"/>
        <v>25.955555555555531</v>
      </c>
      <c r="AE67" s="872">
        <f t="shared" si="8"/>
        <v>27.733333333332773</v>
      </c>
      <c r="AF67" s="872">
        <f t="shared" si="8"/>
        <v>21.33333333333394</v>
      </c>
      <c r="AG67" s="872">
        <f t="shared" si="8"/>
        <v>24.177777777777496</v>
      </c>
      <c r="AH67" s="872">
        <f t="shared" si="7"/>
        <v>25.955555555555531</v>
      </c>
      <c r="AI67" s="872">
        <f t="shared" si="7"/>
        <v>19.555555555555088</v>
      </c>
      <c r="AJ67" s="872">
        <f t="shared" si="7"/>
        <v>22.400000000000837</v>
      </c>
      <c r="AK67" s="872">
        <f t="shared" si="7"/>
        <v>24.177777777777496</v>
      </c>
    </row>
    <row r="68" spans="1:37" ht="13.5" thickBot="1">
      <c r="A68" s="868"/>
      <c r="B68" s="868"/>
      <c r="C68" s="868"/>
      <c r="D68" s="873">
        <f t="shared" si="3"/>
        <v>0.18055555555555541</v>
      </c>
      <c r="E68" s="872">
        <f t="shared" si="11"/>
        <v>50.555555555557291</v>
      </c>
      <c r="F68" s="872">
        <f t="shared" si="11"/>
        <v>53.444444444445622</v>
      </c>
      <c r="G68" s="872">
        <f t="shared" si="11"/>
        <v>55.24999999999995</v>
      </c>
      <c r="H68" s="872">
        <f t="shared" si="11"/>
        <v>46.944444444442752</v>
      </c>
      <c r="I68" s="872">
        <f t="shared" si="11"/>
        <v>49.833333333331609</v>
      </c>
      <c r="J68" s="872">
        <f t="shared" si="10"/>
        <v>51.638888888888005</v>
      </c>
      <c r="K68" s="872">
        <f t="shared" si="10"/>
        <v>43.333333333334544</v>
      </c>
      <c r="L68" s="872">
        <f t="shared" si="10"/>
        <v>46.222222222222968</v>
      </c>
      <c r="M68" s="872">
        <f t="shared" si="10"/>
        <v>48.027777777778994</v>
      </c>
      <c r="N68" s="872">
        <f t="shared" si="10"/>
        <v>32.5</v>
      </c>
      <c r="O68" s="872">
        <f t="shared" si="10"/>
        <v>35.388888888887216</v>
      </c>
      <c r="P68" s="872">
        <f t="shared" si="10"/>
        <v>37.194444444444258</v>
      </c>
      <c r="Q68" s="872">
        <f t="shared" si="10"/>
        <v>30.694444444443086</v>
      </c>
      <c r="R68" s="872">
        <f t="shared" si="10"/>
        <v>33.583333333332021</v>
      </c>
      <c r="S68" s="872">
        <f t="shared" si="10"/>
        <v>35.388888888887216</v>
      </c>
      <c r="T68" s="872">
        <f t="shared" si="10"/>
        <v>28.888888888888346</v>
      </c>
      <c r="U68" s="872">
        <f t="shared" si="9"/>
        <v>31.777777777778056</v>
      </c>
      <c r="V68" s="872">
        <f t="shared" si="9"/>
        <v>33.583333333332021</v>
      </c>
      <c r="W68" s="872">
        <f t="shared" si="9"/>
        <v>27.083333333333265</v>
      </c>
      <c r="X68" s="872">
        <f t="shared" si="9"/>
        <v>29.97222222222295</v>
      </c>
      <c r="Y68" s="872">
        <f t="shared" si="9"/>
        <v>31.777777777778056</v>
      </c>
      <c r="Z68" s="872">
        <f t="shared" si="9"/>
        <v>25.277777777778645</v>
      </c>
      <c r="AA68" s="872">
        <f t="shared" si="8"/>
        <v>28.166666666666107</v>
      </c>
      <c r="AB68" s="872">
        <f t="shared" si="8"/>
        <v>29.97222222222295</v>
      </c>
      <c r="AC68" s="872">
        <f t="shared" si="8"/>
        <v>23.472222222221376</v>
      </c>
      <c r="AD68" s="872">
        <f t="shared" si="8"/>
        <v>26.361111111111086</v>
      </c>
      <c r="AE68" s="872">
        <f t="shared" si="8"/>
        <v>28.166666666666107</v>
      </c>
      <c r="AF68" s="872">
        <f t="shared" si="8"/>
        <v>21.666666666667272</v>
      </c>
      <c r="AG68" s="872">
        <f t="shared" si="8"/>
        <v>24.555555555555273</v>
      </c>
      <c r="AH68" s="872">
        <f t="shared" si="7"/>
        <v>26.361111111111086</v>
      </c>
      <c r="AI68" s="872">
        <f t="shared" si="7"/>
        <v>19.861111111110645</v>
      </c>
      <c r="AJ68" s="872">
        <f t="shared" si="7"/>
        <v>22.750000000000838</v>
      </c>
      <c r="AK68" s="872">
        <f t="shared" si="7"/>
        <v>24.555555555555273</v>
      </c>
    </row>
    <row r="69" spans="1:37" ht="13.5" thickBot="1">
      <c r="A69" s="868"/>
      <c r="B69" s="868"/>
      <c r="C69" s="868"/>
      <c r="D69" s="873">
        <f t="shared" ref="D69:D132" si="12">D68+0.2/72</f>
        <v>0.18333333333333318</v>
      </c>
      <c r="E69" s="872">
        <f t="shared" si="11"/>
        <v>51.333333333335069</v>
      </c>
      <c r="F69" s="872">
        <f t="shared" si="11"/>
        <v>54.266666666667845</v>
      </c>
      <c r="G69" s="872">
        <f t="shared" si="11"/>
        <v>56.099999999999952</v>
      </c>
      <c r="H69" s="872">
        <f t="shared" si="11"/>
        <v>47.666666666664973</v>
      </c>
      <c r="I69" s="872">
        <f t="shared" si="11"/>
        <v>50.599999999998275</v>
      </c>
      <c r="J69" s="872">
        <f t="shared" si="10"/>
        <v>52.433333333332449</v>
      </c>
      <c r="K69" s="872">
        <f t="shared" si="10"/>
        <v>44.000000000001208</v>
      </c>
      <c r="L69" s="872">
        <f t="shared" si="10"/>
        <v>46.933333333334076</v>
      </c>
      <c r="M69" s="872">
        <f t="shared" si="10"/>
        <v>48.766666666667881</v>
      </c>
      <c r="N69" s="872">
        <f t="shared" si="10"/>
        <v>33</v>
      </c>
      <c r="O69" s="872">
        <f t="shared" si="10"/>
        <v>35.93333333333166</v>
      </c>
      <c r="P69" s="872">
        <f t="shared" si="10"/>
        <v>37.766666666666481</v>
      </c>
      <c r="Q69" s="872">
        <f t="shared" si="10"/>
        <v>31.166666666665307</v>
      </c>
      <c r="R69" s="872">
        <f t="shared" si="10"/>
        <v>34.099999999998687</v>
      </c>
      <c r="S69" s="872">
        <f t="shared" si="10"/>
        <v>35.93333333333166</v>
      </c>
      <c r="T69" s="872">
        <f t="shared" si="10"/>
        <v>29.333333333332789</v>
      </c>
      <c r="U69" s="872">
        <f t="shared" si="9"/>
        <v>32.266666666666943</v>
      </c>
      <c r="V69" s="872">
        <f t="shared" si="9"/>
        <v>34.099999999998687</v>
      </c>
      <c r="W69" s="872">
        <f t="shared" si="9"/>
        <v>27.499999999999932</v>
      </c>
      <c r="X69" s="872">
        <f t="shared" si="9"/>
        <v>30.433333333334062</v>
      </c>
      <c r="Y69" s="872">
        <f t="shared" si="9"/>
        <v>32.266666666666943</v>
      </c>
      <c r="Z69" s="872">
        <f t="shared" si="9"/>
        <v>25.666666666667535</v>
      </c>
      <c r="AA69" s="872">
        <f t="shared" si="8"/>
        <v>28.59999999999944</v>
      </c>
      <c r="AB69" s="872">
        <f t="shared" si="8"/>
        <v>30.433333333334062</v>
      </c>
      <c r="AC69" s="872">
        <f t="shared" si="8"/>
        <v>23.833333333332487</v>
      </c>
      <c r="AD69" s="872">
        <f t="shared" si="8"/>
        <v>26.766666666666641</v>
      </c>
      <c r="AE69" s="872">
        <f t="shared" si="8"/>
        <v>28.59999999999944</v>
      </c>
      <c r="AF69" s="872">
        <f t="shared" si="8"/>
        <v>22.000000000000604</v>
      </c>
      <c r="AG69" s="872">
        <f t="shared" si="8"/>
        <v>24.933333333333049</v>
      </c>
      <c r="AH69" s="872">
        <f t="shared" si="7"/>
        <v>26.766666666666641</v>
      </c>
      <c r="AI69" s="872">
        <f t="shared" si="7"/>
        <v>20.166666666666202</v>
      </c>
      <c r="AJ69" s="872">
        <f t="shared" si="7"/>
        <v>23.10000000000084</v>
      </c>
      <c r="AK69" s="872">
        <f t="shared" si="7"/>
        <v>24.933333333333049</v>
      </c>
    </row>
    <row r="70" spans="1:37" ht="13.5" thickBot="1">
      <c r="A70" s="868"/>
      <c r="B70" s="868"/>
      <c r="C70" s="868"/>
      <c r="D70" s="873">
        <f t="shared" si="12"/>
        <v>0.18611111111111095</v>
      </c>
      <c r="E70" s="872">
        <f t="shared" si="11"/>
        <v>52.111111111112848</v>
      </c>
      <c r="F70" s="872">
        <f t="shared" si="11"/>
        <v>55.088888888890068</v>
      </c>
      <c r="G70" s="872">
        <f t="shared" si="11"/>
        <v>56.949999999999953</v>
      </c>
      <c r="H70" s="872">
        <f t="shared" si="11"/>
        <v>48.388888888887195</v>
      </c>
      <c r="I70" s="872">
        <f t="shared" si="11"/>
        <v>51.366666666664941</v>
      </c>
      <c r="J70" s="872">
        <f t="shared" si="10"/>
        <v>53.227777777776893</v>
      </c>
      <c r="K70" s="872">
        <f t="shared" si="10"/>
        <v>44.666666666667872</v>
      </c>
      <c r="L70" s="872">
        <f t="shared" si="10"/>
        <v>47.644444444445185</v>
      </c>
      <c r="M70" s="872">
        <f t="shared" si="10"/>
        <v>49.505555555556768</v>
      </c>
      <c r="N70" s="872">
        <f t="shared" si="10"/>
        <v>33.5</v>
      </c>
      <c r="O70" s="872">
        <f t="shared" si="10"/>
        <v>36.477777777776105</v>
      </c>
      <c r="P70" s="872">
        <f t="shared" si="10"/>
        <v>38.338888888888704</v>
      </c>
      <c r="Q70" s="872">
        <f t="shared" si="10"/>
        <v>31.638888888887529</v>
      </c>
      <c r="R70" s="872">
        <f t="shared" si="10"/>
        <v>34.616666666665353</v>
      </c>
      <c r="S70" s="872">
        <f t="shared" si="10"/>
        <v>36.477777777776105</v>
      </c>
      <c r="T70" s="872">
        <f t="shared" si="10"/>
        <v>29.777777777777231</v>
      </c>
      <c r="U70" s="872">
        <f t="shared" si="9"/>
        <v>32.75555555555583</v>
      </c>
      <c r="V70" s="872">
        <f t="shared" si="9"/>
        <v>34.616666666665353</v>
      </c>
      <c r="W70" s="872">
        <f t="shared" si="9"/>
        <v>27.9166666666666</v>
      </c>
      <c r="X70" s="872">
        <f t="shared" si="9"/>
        <v>30.894444444445174</v>
      </c>
      <c r="Y70" s="872">
        <f t="shared" si="9"/>
        <v>32.75555555555583</v>
      </c>
      <c r="Z70" s="872">
        <f t="shared" si="9"/>
        <v>26.055555555556424</v>
      </c>
      <c r="AA70" s="872">
        <f t="shared" si="8"/>
        <v>29.033333333332774</v>
      </c>
      <c r="AB70" s="872">
        <f t="shared" si="8"/>
        <v>30.894444444445174</v>
      </c>
      <c r="AC70" s="872">
        <f t="shared" si="8"/>
        <v>24.194444444443597</v>
      </c>
      <c r="AD70" s="872">
        <f t="shared" si="8"/>
        <v>27.172222222222196</v>
      </c>
      <c r="AE70" s="872">
        <f t="shared" si="8"/>
        <v>29.033333333332774</v>
      </c>
      <c r="AF70" s="872">
        <f t="shared" si="8"/>
        <v>22.333333333333936</v>
      </c>
      <c r="AG70" s="872">
        <f t="shared" si="8"/>
        <v>25.311111111110826</v>
      </c>
      <c r="AH70" s="872">
        <f t="shared" si="7"/>
        <v>27.172222222222196</v>
      </c>
      <c r="AI70" s="872">
        <f t="shared" si="7"/>
        <v>20.47222222222176</v>
      </c>
      <c r="AJ70" s="872">
        <f t="shared" si="7"/>
        <v>23.450000000000841</v>
      </c>
      <c r="AK70" s="872">
        <f t="shared" si="7"/>
        <v>25.311111111110826</v>
      </c>
    </row>
    <row r="71" spans="1:37" ht="13.5" thickBot="1">
      <c r="A71" s="868"/>
      <c r="B71" s="868"/>
      <c r="C71" s="868"/>
      <c r="D71" s="873">
        <f t="shared" si="12"/>
        <v>0.18888888888888872</v>
      </c>
      <c r="E71" s="872">
        <f t="shared" si="11"/>
        <v>52.888888888890627</v>
      </c>
      <c r="F71" s="872">
        <f t="shared" si="11"/>
        <v>55.911111111112291</v>
      </c>
      <c r="G71" s="872">
        <f t="shared" si="11"/>
        <v>57.799999999999955</v>
      </c>
      <c r="H71" s="872">
        <f t="shared" si="11"/>
        <v>49.111111111109416</v>
      </c>
      <c r="I71" s="872">
        <f t="shared" si="11"/>
        <v>52.133333333331606</v>
      </c>
      <c r="J71" s="872">
        <f t="shared" si="10"/>
        <v>54.022222222221338</v>
      </c>
      <c r="K71" s="872">
        <f t="shared" si="10"/>
        <v>45.333333333334537</v>
      </c>
      <c r="L71" s="872">
        <f t="shared" si="10"/>
        <v>48.355555555556293</v>
      </c>
      <c r="M71" s="872">
        <f t="shared" si="10"/>
        <v>50.244444444445655</v>
      </c>
      <c r="N71" s="872">
        <f t="shared" si="10"/>
        <v>34</v>
      </c>
      <c r="O71" s="872">
        <f t="shared" si="10"/>
        <v>37.022222222220549</v>
      </c>
      <c r="P71" s="872">
        <f t="shared" si="10"/>
        <v>38.911111111110927</v>
      </c>
      <c r="Q71" s="872">
        <f t="shared" si="10"/>
        <v>32.11111111110975</v>
      </c>
      <c r="R71" s="872">
        <f t="shared" si="10"/>
        <v>35.133333333332018</v>
      </c>
      <c r="S71" s="872">
        <f t="shared" si="10"/>
        <v>37.022222222220549</v>
      </c>
      <c r="T71" s="872">
        <f t="shared" si="10"/>
        <v>30.222222222221674</v>
      </c>
      <c r="U71" s="872">
        <f t="shared" si="9"/>
        <v>33.244444444444717</v>
      </c>
      <c r="V71" s="872">
        <f t="shared" si="9"/>
        <v>35.133333333332018</v>
      </c>
      <c r="W71" s="872">
        <f t="shared" si="9"/>
        <v>28.333333333333268</v>
      </c>
      <c r="X71" s="872">
        <f t="shared" si="9"/>
        <v>31.355555555556286</v>
      </c>
      <c r="Y71" s="872">
        <f t="shared" si="9"/>
        <v>33.244444444444717</v>
      </c>
      <c r="Z71" s="872">
        <f t="shared" si="9"/>
        <v>26.444444444445313</v>
      </c>
      <c r="AA71" s="872">
        <f t="shared" si="8"/>
        <v>29.466666666666107</v>
      </c>
      <c r="AB71" s="872">
        <f t="shared" si="8"/>
        <v>31.355555555556286</v>
      </c>
      <c r="AC71" s="872">
        <f t="shared" si="8"/>
        <v>24.555555555554708</v>
      </c>
      <c r="AD71" s="872">
        <f t="shared" si="8"/>
        <v>27.577777777777751</v>
      </c>
      <c r="AE71" s="872">
        <f t="shared" si="8"/>
        <v>29.466666666666107</v>
      </c>
      <c r="AF71" s="872">
        <f t="shared" si="8"/>
        <v>22.666666666667268</v>
      </c>
      <c r="AG71" s="872">
        <f t="shared" si="8"/>
        <v>25.688888888888602</v>
      </c>
      <c r="AH71" s="872">
        <f t="shared" si="7"/>
        <v>27.577777777777751</v>
      </c>
      <c r="AI71" s="872">
        <f t="shared" si="7"/>
        <v>20.777777777777317</v>
      </c>
      <c r="AJ71" s="872">
        <f t="shared" si="7"/>
        <v>23.800000000000843</v>
      </c>
      <c r="AK71" s="872">
        <f t="shared" si="7"/>
        <v>25.688888888888602</v>
      </c>
    </row>
    <row r="72" spans="1:37" ht="13.5" thickBot="1">
      <c r="A72" s="868"/>
      <c r="B72" s="868"/>
      <c r="C72" s="868"/>
      <c r="D72" s="873">
        <f t="shared" si="12"/>
        <v>0.19166666666666649</v>
      </c>
      <c r="E72" s="872">
        <f t="shared" si="11"/>
        <v>53.666666666668405</v>
      </c>
      <c r="F72" s="872">
        <f t="shared" si="11"/>
        <v>56.733333333334514</v>
      </c>
      <c r="G72" s="872">
        <f t="shared" si="11"/>
        <v>58.649999999999956</v>
      </c>
      <c r="H72" s="872">
        <f t="shared" si="11"/>
        <v>49.833333333331638</v>
      </c>
      <c r="I72" s="872">
        <f t="shared" si="11"/>
        <v>52.899999999998272</v>
      </c>
      <c r="J72" s="872">
        <f t="shared" si="10"/>
        <v>54.816666666665782</v>
      </c>
      <c r="K72" s="872">
        <f t="shared" si="10"/>
        <v>46.000000000001201</v>
      </c>
      <c r="L72" s="872">
        <f t="shared" si="10"/>
        <v>49.066666666667402</v>
      </c>
      <c r="M72" s="872">
        <f t="shared" si="10"/>
        <v>50.983333333334542</v>
      </c>
      <c r="N72" s="872">
        <f t="shared" si="10"/>
        <v>34.5</v>
      </c>
      <c r="O72" s="872">
        <f t="shared" si="10"/>
        <v>37.566666666664993</v>
      </c>
      <c r="P72" s="872">
        <f t="shared" si="10"/>
        <v>39.48333333333315</v>
      </c>
      <c r="Q72" s="872">
        <f t="shared" si="10"/>
        <v>32.583333333331971</v>
      </c>
      <c r="R72" s="872">
        <f t="shared" si="10"/>
        <v>35.649999999998684</v>
      </c>
      <c r="S72" s="872">
        <f t="shared" si="10"/>
        <v>37.566666666664993</v>
      </c>
      <c r="T72" s="872">
        <f t="shared" si="10"/>
        <v>30.666666666666117</v>
      </c>
      <c r="U72" s="872">
        <f t="shared" si="9"/>
        <v>33.733333333333604</v>
      </c>
      <c r="V72" s="872">
        <f t="shared" si="9"/>
        <v>35.649999999998684</v>
      </c>
      <c r="W72" s="872">
        <f t="shared" si="9"/>
        <v>28.749999999999936</v>
      </c>
      <c r="X72" s="872">
        <f t="shared" si="9"/>
        <v>31.816666666667398</v>
      </c>
      <c r="Y72" s="872">
        <f t="shared" si="9"/>
        <v>33.733333333333604</v>
      </c>
      <c r="Z72" s="872">
        <f t="shared" si="9"/>
        <v>26.833333333334203</v>
      </c>
      <c r="AA72" s="872">
        <f t="shared" si="8"/>
        <v>29.899999999999441</v>
      </c>
      <c r="AB72" s="872">
        <f t="shared" si="8"/>
        <v>31.816666666667398</v>
      </c>
      <c r="AC72" s="872">
        <f t="shared" si="8"/>
        <v>24.916666666665819</v>
      </c>
      <c r="AD72" s="872">
        <f t="shared" si="8"/>
        <v>27.983333333333306</v>
      </c>
      <c r="AE72" s="872">
        <f t="shared" si="8"/>
        <v>29.899999999999441</v>
      </c>
      <c r="AF72" s="872">
        <f t="shared" si="8"/>
        <v>23.0000000000006</v>
      </c>
      <c r="AG72" s="872">
        <f t="shared" si="8"/>
        <v>26.066666666666379</v>
      </c>
      <c r="AH72" s="872">
        <f t="shared" si="7"/>
        <v>27.983333333333306</v>
      </c>
      <c r="AI72" s="872">
        <f t="shared" si="7"/>
        <v>21.083333333332874</v>
      </c>
      <c r="AJ72" s="872">
        <f t="shared" si="7"/>
        <v>24.150000000000844</v>
      </c>
      <c r="AK72" s="872">
        <f t="shared" si="7"/>
        <v>26.066666666666379</v>
      </c>
    </row>
    <row r="73" spans="1:37" ht="13.5" thickBot="1">
      <c r="A73" s="868"/>
      <c r="B73" s="868"/>
      <c r="C73" s="868"/>
      <c r="D73" s="873">
        <f t="shared" si="12"/>
        <v>0.19444444444444425</v>
      </c>
      <c r="E73" s="872">
        <f t="shared" si="11"/>
        <v>54.444444444446184</v>
      </c>
      <c r="F73" s="872">
        <f t="shared" si="11"/>
        <v>57.555555555556737</v>
      </c>
      <c r="G73" s="872">
        <f t="shared" si="11"/>
        <v>59.499999999999957</v>
      </c>
      <c r="H73" s="872">
        <f t="shared" si="11"/>
        <v>50.555555555553859</v>
      </c>
      <c r="I73" s="872">
        <f t="shared" si="11"/>
        <v>53.666666666664938</v>
      </c>
      <c r="J73" s="872">
        <f t="shared" si="10"/>
        <v>55.611111111110226</v>
      </c>
      <c r="K73" s="872">
        <f t="shared" si="10"/>
        <v>46.666666666667865</v>
      </c>
      <c r="L73" s="872">
        <f t="shared" si="10"/>
        <v>49.77777777777851</v>
      </c>
      <c r="M73" s="872">
        <f t="shared" si="10"/>
        <v>51.722222222223429</v>
      </c>
      <c r="N73" s="872">
        <f t="shared" si="10"/>
        <v>35</v>
      </c>
      <c r="O73" s="872">
        <f t="shared" si="10"/>
        <v>38.111111111109437</v>
      </c>
      <c r="P73" s="872">
        <f t="shared" si="10"/>
        <v>40.055555555555372</v>
      </c>
      <c r="Q73" s="872">
        <f t="shared" si="10"/>
        <v>33.055555555554193</v>
      </c>
      <c r="R73" s="872">
        <f t="shared" si="10"/>
        <v>36.16666666666535</v>
      </c>
      <c r="S73" s="872">
        <f t="shared" si="10"/>
        <v>38.111111111109437</v>
      </c>
      <c r="T73" s="872">
        <f t="shared" si="10"/>
        <v>31.11111111111056</v>
      </c>
      <c r="U73" s="872">
        <f t="shared" si="9"/>
        <v>34.222222222222491</v>
      </c>
      <c r="V73" s="872">
        <f t="shared" si="9"/>
        <v>36.16666666666535</v>
      </c>
      <c r="W73" s="872">
        <f t="shared" si="9"/>
        <v>29.166666666666604</v>
      </c>
      <c r="X73" s="872">
        <f t="shared" si="9"/>
        <v>32.27777777777851</v>
      </c>
      <c r="Y73" s="872">
        <f t="shared" si="9"/>
        <v>34.222222222222491</v>
      </c>
      <c r="Z73" s="872">
        <f t="shared" si="9"/>
        <v>27.222222222223092</v>
      </c>
      <c r="AA73" s="872">
        <f t="shared" si="8"/>
        <v>30.333333333332774</v>
      </c>
      <c r="AB73" s="872">
        <f t="shared" si="8"/>
        <v>32.27777777777851</v>
      </c>
      <c r="AC73" s="872">
        <f t="shared" si="8"/>
        <v>25.277777777776929</v>
      </c>
      <c r="AD73" s="872">
        <f t="shared" si="8"/>
        <v>28.388888888888861</v>
      </c>
      <c r="AE73" s="872">
        <f t="shared" si="8"/>
        <v>30.333333333332774</v>
      </c>
      <c r="AF73" s="872">
        <f t="shared" si="8"/>
        <v>23.333333333333933</v>
      </c>
      <c r="AG73" s="872">
        <f t="shared" si="8"/>
        <v>26.444444444444155</v>
      </c>
      <c r="AH73" s="872">
        <f t="shared" si="7"/>
        <v>28.388888888888861</v>
      </c>
      <c r="AI73" s="872">
        <f t="shared" si="7"/>
        <v>21.388888888888431</v>
      </c>
      <c r="AJ73" s="872">
        <f t="shared" si="7"/>
        <v>24.500000000000846</v>
      </c>
      <c r="AK73" s="872">
        <f t="shared" si="7"/>
        <v>26.444444444444155</v>
      </c>
    </row>
    <row r="74" spans="1:37" ht="13.5" thickBot="1">
      <c r="A74" s="868"/>
      <c r="B74" s="868"/>
      <c r="C74" s="868"/>
      <c r="D74" s="873">
        <f t="shared" si="12"/>
        <v>0.19722222222222202</v>
      </c>
      <c r="E74" s="872">
        <f t="shared" si="11"/>
        <v>55.222222222223962</v>
      </c>
      <c r="F74" s="872">
        <f t="shared" si="11"/>
        <v>58.377777777778959</v>
      </c>
      <c r="G74" s="872">
        <f t="shared" si="11"/>
        <v>60.349999999999959</v>
      </c>
      <c r="H74" s="872">
        <f t="shared" si="11"/>
        <v>51.27777777777608</v>
      </c>
      <c r="I74" s="872">
        <f t="shared" si="11"/>
        <v>54.433333333331603</v>
      </c>
      <c r="J74" s="872">
        <f t="shared" si="10"/>
        <v>56.40555555555467</v>
      </c>
      <c r="K74" s="872">
        <f t="shared" si="10"/>
        <v>47.333333333334529</v>
      </c>
      <c r="L74" s="872">
        <f t="shared" si="10"/>
        <v>50.488888888889619</v>
      </c>
      <c r="M74" s="872">
        <f t="shared" si="10"/>
        <v>52.461111111112317</v>
      </c>
      <c r="N74" s="872">
        <f t="shared" si="10"/>
        <v>35.5</v>
      </c>
      <c r="O74" s="872">
        <f t="shared" si="10"/>
        <v>38.655555555553882</v>
      </c>
      <c r="P74" s="872">
        <f t="shared" si="10"/>
        <v>40.627777777777595</v>
      </c>
      <c r="Q74" s="872">
        <f t="shared" si="10"/>
        <v>33.527777777776414</v>
      </c>
      <c r="R74" s="872">
        <f t="shared" si="10"/>
        <v>36.683333333332016</v>
      </c>
      <c r="S74" s="872">
        <f t="shared" si="10"/>
        <v>38.655555555553882</v>
      </c>
      <c r="T74" s="872">
        <f t="shared" si="10"/>
        <v>31.555555555555003</v>
      </c>
      <c r="U74" s="872">
        <f t="shared" si="10"/>
        <v>34.711111111111379</v>
      </c>
      <c r="V74" s="872">
        <f t="shared" si="10"/>
        <v>36.683333333332016</v>
      </c>
      <c r="W74" s="872">
        <f t="shared" ref="W74:AG99" si="13">W75-(W$363/360)</f>
        <v>29.583333333333272</v>
      </c>
      <c r="X74" s="872">
        <f t="shared" si="13"/>
        <v>32.738888888889619</v>
      </c>
      <c r="Y74" s="872">
        <f t="shared" si="13"/>
        <v>34.711111111111379</v>
      </c>
      <c r="Z74" s="872">
        <f t="shared" si="13"/>
        <v>27.611111111111981</v>
      </c>
      <c r="AA74" s="872">
        <f t="shared" si="8"/>
        <v>30.766666666666108</v>
      </c>
      <c r="AB74" s="872">
        <f t="shared" si="8"/>
        <v>32.738888888889619</v>
      </c>
      <c r="AC74" s="872">
        <f t="shared" si="8"/>
        <v>25.63888888888804</v>
      </c>
      <c r="AD74" s="872">
        <f t="shared" si="8"/>
        <v>28.794444444444416</v>
      </c>
      <c r="AE74" s="872">
        <f t="shared" si="8"/>
        <v>30.766666666666108</v>
      </c>
      <c r="AF74" s="872">
        <f t="shared" si="8"/>
        <v>23.666666666667265</v>
      </c>
      <c r="AG74" s="872">
        <f t="shared" si="8"/>
        <v>26.822222222221932</v>
      </c>
      <c r="AH74" s="872">
        <f t="shared" si="7"/>
        <v>28.794444444444416</v>
      </c>
      <c r="AI74" s="872">
        <f t="shared" si="7"/>
        <v>21.694444444443988</v>
      </c>
      <c r="AJ74" s="872">
        <f t="shared" si="7"/>
        <v>24.850000000000847</v>
      </c>
      <c r="AK74" s="872">
        <f t="shared" si="7"/>
        <v>26.822222222221932</v>
      </c>
    </row>
    <row r="75" spans="1:37" ht="13.5" thickBot="1">
      <c r="A75" s="868"/>
      <c r="B75" s="868"/>
      <c r="C75" s="868"/>
      <c r="D75" s="873">
        <f t="shared" si="12"/>
        <v>0.19999999999999979</v>
      </c>
      <c r="E75" s="872">
        <f t="shared" si="11"/>
        <v>56.000000000001741</v>
      </c>
      <c r="F75" s="872">
        <f t="shared" si="11"/>
        <v>59.200000000001182</v>
      </c>
      <c r="G75" s="872">
        <f t="shared" si="11"/>
        <v>61.19999999999996</v>
      </c>
      <c r="H75" s="872">
        <f t="shared" si="11"/>
        <v>51.999999999998302</v>
      </c>
      <c r="I75" s="872">
        <f t="shared" si="11"/>
        <v>55.199999999998269</v>
      </c>
      <c r="J75" s="872">
        <f t="shared" si="11"/>
        <v>57.199999999999115</v>
      </c>
      <c r="K75" s="872">
        <f t="shared" si="11"/>
        <v>48.000000000001194</v>
      </c>
      <c r="L75" s="872">
        <f t="shared" si="11"/>
        <v>51.200000000000728</v>
      </c>
      <c r="M75" s="872">
        <f t="shared" si="11"/>
        <v>53.200000000001204</v>
      </c>
      <c r="N75" s="872">
        <f t="shared" si="11"/>
        <v>36</v>
      </c>
      <c r="O75" s="872">
        <f t="shared" si="11"/>
        <v>39.199999999998326</v>
      </c>
      <c r="P75" s="872">
        <f t="shared" si="11"/>
        <v>41.199999999999818</v>
      </c>
      <c r="Q75" s="872">
        <f t="shared" si="11"/>
        <v>33.999999999998636</v>
      </c>
      <c r="R75" s="872">
        <f t="shared" si="11"/>
        <v>37.199999999998681</v>
      </c>
      <c r="S75" s="872">
        <f t="shared" si="11"/>
        <v>39.199999999998326</v>
      </c>
      <c r="T75" s="872">
        <f t="shared" si="11"/>
        <v>31.999999999999446</v>
      </c>
      <c r="U75" s="872">
        <f t="shared" ref="U75:V90" si="14">U76-(U$363/360)</f>
        <v>35.200000000000266</v>
      </c>
      <c r="V75" s="872">
        <f t="shared" si="14"/>
        <v>37.199999999998681</v>
      </c>
      <c r="W75" s="872">
        <f t="shared" si="13"/>
        <v>29.99999999999994</v>
      </c>
      <c r="X75" s="872">
        <f t="shared" si="13"/>
        <v>33.200000000000728</v>
      </c>
      <c r="Y75" s="872">
        <f t="shared" si="13"/>
        <v>35.200000000000266</v>
      </c>
      <c r="Z75" s="872">
        <f t="shared" si="13"/>
        <v>28.00000000000087</v>
      </c>
      <c r="AA75" s="872">
        <f t="shared" si="8"/>
        <v>31.199999999999442</v>
      </c>
      <c r="AB75" s="872">
        <f t="shared" si="8"/>
        <v>33.200000000000728</v>
      </c>
      <c r="AC75" s="872">
        <f t="shared" si="8"/>
        <v>25.999999999999151</v>
      </c>
      <c r="AD75" s="872">
        <f t="shared" si="8"/>
        <v>29.199999999999971</v>
      </c>
      <c r="AE75" s="872">
        <f t="shared" si="8"/>
        <v>31.199999999999442</v>
      </c>
      <c r="AF75" s="872">
        <f t="shared" si="8"/>
        <v>24.000000000000597</v>
      </c>
      <c r="AG75" s="872">
        <f t="shared" si="8"/>
        <v>27.199999999999708</v>
      </c>
      <c r="AH75" s="872">
        <f t="shared" si="7"/>
        <v>29.199999999999971</v>
      </c>
      <c r="AI75" s="872">
        <f t="shared" si="7"/>
        <v>21.999999999999545</v>
      </c>
      <c r="AJ75" s="872">
        <f t="shared" si="7"/>
        <v>25.200000000000848</v>
      </c>
      <c r="AK75" s="872">
        <f t="shared" si="7"/>
        <v>27.199999999999708</v>
      </c>
    </row>
    <row r="76" spans="1:37" ht="13.5" thickBot="1">
      <c r="A76" s="868"/>
      <c r="B76" s="868"/>
      <c r="C76" s="868"/>
      <c r="D76" s="873">
        <f t="shared" si="12"/>
        <v>0.20277777777777756</v>
      </c>
      <c r="E76" s="872">
        <f t="shared" si="11"/>
        <v>56.777777777779519</v>
      </c>
      <c r="F76" s="872">
        <f t="shared" si="11"/>
        <v>60.022222222223405</v>
      </c>
      <c r="G76" s="872">
        <f t="shared" si="11"/>
        <v>62.049999999999962</v>
      </c>
      <c r="H76" s="872">
        <f t="shared" si="11"/>
        <v>52.722222222220523</v>
      </c>
      <c r="I76" s="872">
        <f t="shared" si="11"/>
        <v>55.966666666664935</v>
      </c>
      <c r="J76" s="872">
        <f t="shared" si="11"/>
        <v>57.994444444443559</v>
      </c>
      <c r="K76" s="872">
        <f t="shared" si="11"/>
        <v>48.666666666667858</v>
      </c>
      <c r="L76" s="872">
        <f t="shared" si="11"/>
        <v>51.911111111111836</v>
      </c>
      <c r="M76" s="872">
        <f t="shared" si="11"/>
        <v>53.938888888890091</v>
      </c>
      <c r="N76" s="872">
        <f t="shared" si="11"/>
        <v>36.5</v>
      </c>
      <c r="O76" s="872">
        <f t="shared" si="11"/>
        <v>39.74444444444277</v>
      </c>
      <c r="P76" s="872">
        <f t="shared" si="11"/>
        <v>41.772222222222041</v>
      </c>
      <c r="Q76" s="872">
        <f t="shared" si="11"/>
        <v>34.472222222220857</v>
      </c>
      <c r="R76" s="872">
        <f t="shared" si="11"/>
        <v>37.716666666665347</v>
      </c>
      <c r="S76" s="872">
        <f t="shared" si="11"/>
        <v>39.74444444444277</v>
      </c>
      <c r="T76" s="872">
        <f t="shared" si="11"/>
        <v>32.444444444443889</v>
      </c>
      <c r="U76" s="872">
        <f t="shared" si="14"/>
        <v>35.688888888889153</v>
      </c>
      <c r="V76" s="872">
        <f t="shared" si="14"/>
        <v>37.716666666665347</v>
      </c>
      <c r="W76" s="872">
        <f t="shared" si="13"/>
        <v>30.416666666666607</v>
      </c>
      <c r="X76" s="872">
        <f t="shared" si="13"/>
        <v>33.661111111111836</v>
      </c>
      <c r="Y76" s="872">
        <f t="shared" si="13"/>
        <v>35.688888888889153</v>
      </c>
      <c r="Z76" s="872">
        <f t="shared" si="13"/>
        <v>28.38888888888976</v>
      </c>
      <c r="AA76" s="872">
        <f t="shared" si="8"/>
        <v>31.633333333332775</v>
      </c>
      <c r="AB76" s="872">
        <f t="shared" si="8"/>
        <v>33.661111111111836</v>
      </c>
      <c r="AC76" s="872">
        <f t="shared" si="8"/>
        <v>26.361111111110262</v>
      </c>
      <c r="AD76" s="872">
        <f t="shared" si="8"/>
        <v>29.605555555555526</v>
      </c>
      <c r="AE76" s="872">
        <f t="shared" si="8"/>
        <v>31.633333333332775</v>
      </c>
      <c r="AF76" s="872">
        <f t="shared" si="8"/>
        <v>24.333333333333929</v>
      </c>
      <c r="AG76" s="872">
        <f t="shared" si="8"/>
        <v>27.577777777777484</v>
      </c>
      <c r="AH76" s="872">
        <f t="shared" si="7"/>
        <v>29.605555555555526</v>
      </c>
      <c r="AI76" s="872">
        <f t="shared" si="7"/>
        <v>22.305555555555102</v>
      </c>
      <c r="AJ76" s="872">
        <f t="shared" si="7"/>
        <v>25.55000000000085</v>
      </c>
      <c r="AK76" s="872">
        <f t="shared" si="7"/>
        <v>27.577777777777484</v>
      </c>
    </row>
    <row r="77" spans="1:37" ht="13.5" thickBot="1">
      <c r="A77" s="868"/>
      <c r="B77" s="868"/>
      <c r="C77" s="868"/>
      <c r="D77" s="873">
        <f t="shared" si="12"/>
        <v>0.20555555555555532</v>
      </c>
      <c r="E77" s="872">
        <f t="shared" si="11"/>
        <v>57.555555555557298</v>
      </c>
      <c r="F77" s="872">
        <f t="shared" si="11"/>
        <v>60.844444444445628</v>
      </c>
      <c r="G77" s="872">
        <f t="shared" si="11"/>
        <v>62.899999999999963</v>
      </c>
      <c r="H77" s="872">
        <f t="shared" si="11"/>
        <v>53.444444444442745</v>
      </c>
      <c r="I77" s="872">
        <f t="shared" si="11"/>
        <v>56.733333333331601</v>
      </c>
      <c r="J77" s="872">
        <f t="shared" si="11"/>
        <v>58.788888888888003</v>
      </c>
      <c r="K77" s="872">
        <f t="shared" si="11"/>
        <v>49.333333333334522</v>
      </c>
      <c r="L77" s="872">
        <f t="shared" si="11"/>
        <v>52.622222222222945</v>
      </c>
      <c r="M77" s="872">
        <f t="shared" si="11"/>
        <v>54.677777777778978</v>
      </c>
      <c r="N77" s="872">
        <f t="shared" si="11"/>
        <v>37</v>
      </c>
      <c r="O77" s="872">
        <f t="shared" si="11"/>
        <v>40.288888888887215</v>
      </c>
      <c r="P77" s="872">
        <f t="shared" si="11"/>
        <v>42.344444444444264</v>
      </c>
      <c r="Q77" s="872">
        <f t="shared" si="11"/>
        <v>34.944444444443079</v>
      </c>
      <c r="R77" s="872">
        <f t="shared" si="11"/>
        <v>38.233333333332013</v>
      </c>
      <c r="S77" s="872">
        <f t="shared" si="11"/>
        <v>40.288888888887215</v>
      </c>
      <c r="T77" s="872">
        <f t="shared" si="11"/>
        <v>32.888888888888332</v>
      </c>
      <c r="U77" s="872">
        <f t="shared" si="14"/>
        <v>36.17777777777804</v>
      </c>
      <c r="V77" s="872">
        <f t="shared" si="14"/>
        <v>38.233333333332013</v>
      </c>
      <c r="W77" s="872">
        <f t="shared" si="13"/>
        <v>30.833333333333275</v>
      </c>
      <c r="X77" s="872">
        <f t="shared" si="13"/>
        <v>34.122222222222945</v>
      </c>
      <c r="Y77" s="872">
        <f t="shared" si="13"/>
        <v>36.17777777777804</v>
      </c>
      <c r="Z77" s="872">
        <f t="shared" si="13"/>
        <v>28.777777777778649</v>
      </c>
      <c r="AA77" s="872">
        <f t="shared" si="8"/>
        <v>32.066666666666109</v>
      </c>
      <c r="AB77" s="872">
        <f t="shared" si="8"/>
        <v>34.122222222222945</v>
      </c>
      <c r="AC77" s="872">
        <f t="shared" si="8"/>
        <v>26.722222222221372</v>
      </c>
      <c r="AD77" s="872">
        <f t="shared" si="8"/>
        <v>30.011111111111081</v>
      </c>
      <c r="AE77" s="872">
        <f t="shared" si="8"/>
        <v>32.066666666666109</v>
      </c>
      <c r="AF77" s="872">
        <f t="shared" si="8"/>
        <v>24.666666666667261</v>
      </c>
      <c r="AG77" s="872">
        <f t="shared" si="8"/>
        <v>27.955555555555261</v>
      </c>
      <c r="AH77" s="872">
        <f t="shared" si="7"/>
        <v>30.011111111111081</v>
      </c>
      <c r="AI77" s="872">
        <f t="shared" si="7"/>
        <v>22.61111111111066</v>
      </c>
      <c r="AJ77" s="872">
        <f t="shared" si="7"/>
        <v>25.900000000000851</v>
      </c>
      <c r="AK77" s="872">
        <f t="shared" si="7"/>
        <v>27.955555555555261</v>
      </c>
    </row>
    <row r="78" spans="1:37" ht="13.5" thickBot="1">
      <c r="A78" s="868"/>
      <c r="B78" s="868"/>
      <c r="C78" s="868"/>
      <c r="D78" s="873">
        <f t="shared" si="12"/>
        <v>0.20833333333333309</v>
      </c>
      <c r="E78" s="872">
        <f t="shared" si="11"/>
        <v>58.333333333335077</v>
      </c>
      <c r="F78" s="872">
        <f t="shared" si="11"/>
        <v>61.666666666667851</v>
      </c>
      <c r="G78" s="872">
        <f t="shared" si="11"/>
        <v>63.749999999999964</v>
      </c>
      <c r="H78" s="872">
        <f t="shared" si="11"/>
        <v>54.166666666664966</v>
      </c>
      <c r="I78" s="872">
        <f t="shared" si="11"/>
        <v>57.499999999998266</v>
      </c>
      <c r="J78" s="872">
        <f t="shared" si="11"/>
        <v>59.583333333332448</v>
      </c>
      <c r="K78" s="872">
        <f t="shared" si="11"/>
        <v>50.000000000001187</v>
      </c>
      <c r="L78" s="872">
        <f t="shared" si="11"/>
        <v>53.333333333334053</v>
      </c>
      <c r="M78" s="872">
        <f t="shared" si="11"/>
        <v>55.416666666667865</v>
      </c>
      <c r="N78" s="872">
        <f t="shared" si="11"/>
        <v>37.5</v>
      </c>
      <c r="O78" s="872">
        <f t="shared" si="11"/>
        <v>40.833333333331659</v>
      </c>
      <c r="P78" s="872">
        <f t="shared" si="11"/>
        <v>42.916666666666487</v>
      </c>
      <c r="Q78" s="872">
        <f t="shared" si="11"/>
        <v>35.4166666666653</v>
      </c>
      <c r="R78" s="872">
        <f t="shared" si="11"/>
        <v>38.749999999998678</v>
      </c>
      <c r="S78" s="872">
        <f t="shared" si="11"/>
        <v>40.833333333331659</v>
      </c>
      <c r="T78" s="872">
        <f t="shared" si="11"/>
        <v>33.333333333332774</v>
      </c>
      <c r="U78" s="872">
        <f t="shared" si="14"/>
        <v>36.666666666666927</v>
      </c>
      <c r="V78" s="872">
        <f t="shared" si="14"/>
        <v>38.749999999998678</v>
      </c>
      <c r="W78" s="872">
        <f t="shared" si="13"/>
        <v>31.249999999999943</v>
      </c>
      <c r="X78" s="872">
        <f t="shared" si="13"/>
        <v>34.583333333334053</v>
      </c>
      <c r="Y78" s="872">
        <f t="shared" si="13"/>
        <v>36.666666666666927</v>
      </c>
      <c r="Z78" s="872">
        <f t="shared" si="13"/>
        <v>29.166666666667538</v>
      </c>
      <c r="AA78" s="872">
        <f t="shared" si="13"/>
        <v>32.499999999999439</v>
      </c>
      <c r="AB78" s="872">
        <f t="shared" si="13"/>
        <v>34.583333333334053</v>
      </c>
      <c r="AC78" s="872">
        <f t="shared" si="13"/>
        <v>27.083333333332483</v>
      </c>
      <c r="AD78" s="872">
        <f t="shared" si="13"/>
        <v>30.416666666666636</v>
      </c>
      <c r="AE78" s="872">
        <f t="shared" si="13"/>
        <v>32.499999999999439</v>
      </c>
      <c r="AF78" s="872">
        <f t="shared" si="13"/>
        <v>25.000000000000593</v>
      </c>
      <c r="AG78" s="872">
        <f t="shared" si="13"/>
        <v>28.333333333333037</v>
      </c>
      <c r="AH78" s="872">
        <f t="shared" si="7"/>
        <v>30.416666666666636</v>
      </c>
      <c r="AI78" s="872">
        <f t="shared" si="7"/>
        <v>22.916666666666217</v>
      </c>
      <c r="AJ78" s="872">
        <f t="shared" si="7"/>
        <v>26.250000000000853</v>
      </c>
      <c r="AK78" s="872">
        <f t="shared" si="7"/>
        <v>28.333333333333037</v>
      </c>
    </row>
    <row r="79" spans="1:37" ht="13.5" thickBot="1">
      <c r="A79" s="868"/>
      <c r="B79" s="868"/>
      <c r="C79" s="868"/>
      <c r="D79" s="873">
        <f t="shared" si="12"/>
        <v>0.21111111111111086</v>
      </c>
      <c r="E79" s="872">
        <f t="shared" si="11"/>
        <v>59.111111111112855</v>
      </c>
      <c r="F79" s="872">
        <f t="shared" si="11"/>
        <v>62.488888888890074</v>
      </c>
      <c r="G79" s="872">
        <f t="shared" si="11"/>
        <v>64.599999999999966</v>
      </c>
      <c r="H79" s="872">
        <f t="shared" si="11"/>
        <v>54.888888888887188</v>
      </c>
      <c r="I79" s="872">
        <f t="shared" si="11"/>
        <v>58.266666666664932</v>
      </c>
      <c r="J79" s="872">
        <f t="shared" si="11"/>
        <v>60.377777777776892</v>
      </c>
      <c r="K79" s="872">
        <f t="shared" si="11"/>
        <v>50.666666666667851</v>
      </c>
      <c r="L79" s="872">
        <f t="shared" si="11"/>
        <v>54.044444444445162</v>
      </c>
      <c r="M79" s="872">
        <f t="shared" si="11"/>
        <v>56.155555555556752</v>
      </c>
      <c r="N79" s="872">
        <f t="shared" si="11"/>
        <v>38</v>
      </c>
      <c r="O79" s="872">
        <f t="shared" si="11"/>
        <v>41.377777777776103</v>
      </c>
      <c r="P79" s="872">
        <f t="shared" si="11"/>
        <v>43.48888888888871</v>
      </c>
      <c r="Q79" s="872">
        <f t="shared" si="11"/>
        <v>35.888888888887521</v>
      </c>
      <c r="R79" s="872">
        <f t="shared" si="11"/>
        <v>39.266666666665344</v>
      </c>
      <c r="S79" s="872">
        <f t="shared" si="11"/>
        <v>41.377777777776103</v>
      </c>
      <c r="T79" s="872">
        <f t="shared" si="11"/>
        <v>33.777777777777217</v>
      </c>
      <c r="U79" s="872">
        <f t="shared" si="14"/>
        <v>37.155555555555814</v>
      </c>
      <c r="V79" s="872">
        <f t="shared" si="14"/>
        <v>39.266666666665344</v>
      </c>
      <c r="W79" s="872">
        <f t="shared" si="13"/>
        <v>31.666666666666611</v>
      </c>
      <c r="X79" s="872">
        <f t="shared" si="13"/>
        <v>35.044444444445162</v>
      </c>
      <c r="Y79" s="872">
        <f t="shared" si="13"/>
        <v>37.155555555555814</v>
      </c>
      <c r="Z79" s="872">
        <f t="shared" si="13"/>
        <v>29.555555555556428</v>
      </c>
      <c r="AA79" s="872">
        <f t="shared" si="13"/>
        <v>32.933333333332769</v>
      </c>
      <c r="AB79" s="872">
        <f t="shared" si="13"/>
        <v>35.044444444445162</v>
      </c>
      <c r="AC79" s="872">
        <f t="shared" si="13"/>
        <v>27.444444444443594</v>
      </c>
      <c r="AD79" s="872">
        <f t="shared" si="13"/>
        <v>30.822222222222191</v>
      </c>
      <c r="AE79" s="872">
        <f t="shared" si="13"/>
        <v>32.933333333332769</v>
      </c>
      <c r="AF79" s="872">
        <f t="shared" si="13"/>
        <v>25.333333333333925</v>
      </c>
      <c r="AG79" s="872">
        <f t="shared" si="13"/>
        <v>28.711111111110814</v>
      </c>
      <c r="AH79" s="872">
        <f t="shared" si="7"/>
        <v>30.822222222222191</v>
      </c>
      <c r="AI79" s="872">
        <f t="shared" si="7"/>
        <v>23.222222222221774</v>
      </c>
      <c r="AJ79" s="872">
        <f t="shared" si="7"/>
        <v>26.600000000000854</v>
      </c>
      <c r="AK79" s="872">
        <f t="shared" si="7"/>
        <v>28.711111111110814</v>
      </c>
    </row>
    <row r="80" spans="1:37" ht="13.5" thickBot="1">
      <c r="A80" s="868"/>
      <c r="B80" s="868"/>
      <c r="C80" s="868"/>
      <c r="D80" s="873">
        <f t="shared" si="12"/>
        <v>0.21388888888888863</v>
      </c>
      <c r="E80" s="872">
        <f t="shared" si="11"/>
        <v>59.888888888890634</v>
      </c>
      <c r="F80" s="872">
        <f t="shared" si="11"/>
        <v>63.311111111112297</v>
      </c>
      <c r="G80" s="872">
        <f t="shared" si="11"/>
        <v>65.44999999999996</v>
      </c>
      <c r="H80" s="872">
        <f t="shared" si="11"/>
        <v>55.611111111109409</v>
      </c>
      <c r="I80" s="872">
        <f t="shared" si="11"/>
        <v>59.033333333331598</v>
      </c>
      <c r="J80" s="872">
        <f t="shared" si="11"/>
        <v>61.172222222221336</v>
      </c>
      <c r="K80" s="872">
        <f t="shared" si="11"/>
        <v>51.333333333334515</v>
      </c>
      <c r="L80" s="872">
        <f t="shared" si="11"/>
        <v>54.755555555556271</v>
      </c>
      <c r="M80" s="872">
        <f t="shared" si="11"/>
        <v>56.894444444445639</v>
      </c>
      <c r="N80" s="872">
        <f t="shared" si="11"/>
        <v>38.5</v>
      </c>
      <c r="O80" s="872">
        <f t="shared" si="11"/>
        <v>41.922222222220547</v>
      </c>
      <c r="P80" s="872">
        <f t="shared" si="11"/>
        <v>44.061111111110932</v>
      </c>
      <c r="Q80" s="872">
        <f t="shared" si="11"/>
        <v>36.361111111109743</v>
      </c>
      <c r="R80" s="872">
        <f t="shared" si="11"/>
        <v>39.78333333333201</v>
      </c>
      <c r="S80" s="872">
        <f t="shared" si="11"/>
        <v>41.922222222220547</v>
      </c>
      <c r="T80" s="872">
        <f t="shared" si="11"/>
        <v>34.22222222222166</v>
      </c>
      <c r="U80" s="872">
        <f t="shared" si="14"/>
        <v>37.644444444444702</v>
      </c>
      <c r="V80" s="872">
        <f t="shared" si="14"/>
        <v>39.78333333333201</v>
      </c>
      <c r="W80" s="872">
        <f t="shared" si="13"/>
        <v>32.083333333333279</v>
      </c>
      <c r="X80" s="872">
        <f t="shared" si="13"/>
        <v>35.505555555556271</v>
      </c>
      <c r="Y80" s="872">
        <f t="shared" si="13"/>
        <v>37.644444444444702</v>
      </c>
      <c r="Z80" s="872">
        <f t="shared" si="13"/>
        <v>29.944444444445317</v>
      </c>
      <c r="AA80" s="872">
        <f t="shared" si="13"/>
        <v>33.366666666666099</v>
      </c>
      <c r="AB80" s="872">
        <f t="shared" si="13"/>
        <v>35.505555555556271</v>
      </c>
      <c r="AC80" s="872">
        <f t="shared" si="13"/>
        <v>27.805555555554704</v>
      </c>
      <c r="AD80" s="872">
        <f t="shared" si="13"/>
        <v>31.227777777777746</v>
      </c>
      <c r="AE80" s="872">
        <f t="shared" si="13"/>
        <v>33.366666666666099</v>
      </c>
      <c r="AF80" s="872">
        <f t="shared" si="13"/>
        <v>25.666666666667258</v>
      </c>
      <c r="AG80" s="872">
        <f t="shared" si="13"/>
        <v>29.08888888888859</v>
      </c>
      <c r="AH80" s="872">
        <f t="shared" si="7"/>
        <v>31.227777777777746</v>
      </c>
      <c r="AI80" s="872">
        <f t="shared" si="7"/>
        <v>23.527777777777331</v>
      </c>
      <c r="AJ80" s="872">
        <f t="shared" si="7"/>
        <v>26.950000000000855</v>
      </c>
      <c r="AK80" s="872">
        <f t="shared" si="7"/>
        <v>29.08888888888859</v>
      </c>
    </row>
    <row r="81" spans="1:37" ht="13.5" thickBot="1">
      <c r="A81" s="868"/>
      <c r="B81" s="868"/>
      <c r="C81" s="868"/>
      <c r="D81" s="873">
        <f t="shared" si="12"/>
        <v>0.2166666666666664</v>
      </c>
      <c r="E81" s="872">
        <f t="shared" si="11"/>
        <v>60.666666666668412</v>
      </c>
      <c r="F81" s="872">
        <f t="shared" si="11"/>
        <v>64.133333333334519</v>
      </c>
      <c r="G81" s="872">
        <f t="shared" si="11"/>
        <v>66.299999999999955</v>
      </c>
      <c r="H81" s="872">
        <f t="shared" si="11"/>
        <v>56.33333333333163</v>
      </c>
      <c r="I81" s="872">
        <f t="shared" si="11"/>
        <v>59.799999999998263</v>
      </c>
      <c r="J81" s="872">
        <f t="shared" si="11"/>
        <v>61.96666666666578</v>
      </c>
      <c r="K81" s="872">
        <f t="shared" si="11"/>
        <v>52.00000000000118</v>
      </c>
      <c r="L81" s="872">
        <f t="shared" si="11"/>
        <v>55.466666666667379</v>
      </c>
      <c r="M81" s="872">
        <f t="shared" si="11"/>
        <v>57.633333333334527</v>
      </c>
      <c r="N81" s="872">
        <f t="shared" si="11"/>
        <v>39</v>
      </c>
      <c r="O81" s="872">
        <f t="shared" si="11"/>
        <v>42.466666666664992</v>
      </c>
      <c r="P81" s="872">
        <f t="shared" si="11"/>
        <v>44.633333333333155</v>
      </c>
      <c r="Q81" s="872">
        <f t="shared" si="11"/>
        <v>36.833333333331964</v>
      </c>
      <c r="R81" s="872">
        <f t="shared" si="11"/>
        <v>40.299999999998676</v>
      </c>
      <c r="S81" s="872">
        <f t="shared" si="11"/>
        <v>42.466666666664992</v>
      </c>
      <c r="T81" s="872">
        <f t="shared" si="11"/>
        <v>34.666666666666103</v>
      </c>
      <c r="U81" s="872">
        <f t="shared" si="14"/>
        <v>38.133333333333589</v>
      </c>
      <c r="V81" s="872">
        <f t="shared" si="14"/>
        <v>40.299999999998676</v>
      </c>
      <c r="W81" s="872">
        <f t="shared" si="13"/>
        <v>32.499999999999943</v>
      </c>
      <c r="X81" s="872">
        <f t="shared" si="13"/>
        <v>35.966666666667379</v>
      </c>
      <c r="Y81" s="872">
        <f t="shared" si="13"/>
        <v>38.133333333333589</v>
      </c>
      <c r="Z81" s="872">
        <f t="shared" si="13"/>
        <v>30.333333333334206</v>
      </c>
      <c r="AA81" s="872">
        <f t="shared" si="13"/>
        <v>33.799999999999429</v>
      </c>
      <c r="AB81" s="872">
        <f t="shared" si="13"/>
        <v>35.966666666667379</v>
      </c>
      <c r="AC81" s="872">
        <f t="shared" si="13"/>
        <v>28.166666666665815</v>
      </c>
      <c r="AD81" s="872">
        <f t="shared" si="13"/>
        <v>31.633333333333301</v>
      </c>
      <c r="AE81" s="872">
        <f t="shared" si="13"/>
        <v>33.799999999999429</v>
      </c>
      <c r="AF81" s="872">
        <f t="shared" si="13"/>
        <v>26.00000000000059</v>
      </c>
      <c r="AG81" s="872">
        <f t="shared" si="13"/>
        <v>29.466666666666367</v>
      </c>
      <c r="AH81" s="872">
        <f t="shared" si="7"/>
        <v>31.633333333333301</v>
      </c>
      <c r="AI81" s="872">
        <f t="shared" si="7"/>
        <v>23.833333333332888</v>
      </c>
      <c r="AJ81" s="872">
        <f t="shared" si="7"/>
        <v>27.300000000000857</v>
      </c>
      <c r="AK81" s="872">
        <f t="shared" si="7"/>
        <v>29.466666666666367</v>
      </c>
    </row>
    <row r="82" spans="1:37" ht="13.5" thickBot="1">
      <c r="A82" s="868"/>
      <c r="B82" s="868"/>
      <c r="C82" s="868"/>
      <c r="D82" s="873">
        <f t="shared" si="12"/>
        <v>0.21944444444444416</v>
      </c>
      <c r="E82" s="872">
        <f t="shared" si="11"/>
        <v>61.444444444446191</v>
      </c>
      <c r="F82" s="872">
        <f t="shared" si="11"/>
        <v>64.955555555556742</v>
      </c>
      <c r="G82" s="872">
        <f t="shared" si="11"/>
        <v>67.149999999999949</v>
      </c>
      <c r="H82" s="872">
        <f t="shared" si="11"/>
        <v>57.055555555553852</v>
      </c>
      <c r="I82" s="872">
        <f t="shared" si="11"/>
        <v>60.566666666664929</v>
      </c>
      <c r="J82" s="872">
        <f t="shared" si="11"/>
        <v>62.761111111110225</v>
      </c>
      <c r="K82" s="872">
        <f t="shared" si="11"/>
        <v>52.666666666667844</v>
      </c>
      <c r="L82" s="872">
        <f t="shared" si="11"/>
        <v>56.177777777778488</v>
      </c>
      <c r="M82" s="872">
        <f t="shared" si="11"/>
        <v>58.372222222223414</v>
      </c>
      <c r="N82" s="872">
        <f t="shared" si="11"/>
        <v>39.5</v>
      </c>
      <c r="O82" s="872">
        <f t="shared" si="11"/>
        <v>43.011111111109436</v>
      </c>
      <c r="P82" s="872">
        <f t="shared" si="11"/>
        <v>45.205555555555378</v>
      </c>
      <c r="Q82" s="872">
        <f t="shared" si="11"/>
        <v>37.305555555554186</v>
      </c>
      <c r="R82" s="872">
        <f t="shared" si="11"/>
        <v>40.816666666665341</v>
      </c>
      <c r="S82" s="872">
        <f t="shared" si="11"/>
        <v>43.011111111109436</v>
      </c>
      <c r="T82" s="872">
        <f t="shared" si="11"/>
        <v>35.111111111110546</v>
      </c>
      <c r="U82" s="872">
        <f t="shared" si="14"/>
        <v>38.622222222222476</v>
      </c>
      <c r="V82" s="872">
        <f t="shared" si="14"/>
        <v>40.816666666665341</v>
      </c>
      <c r="W82" s="872">
        <f t="shared" si="13"/>
        <v>32.916666666666607</v>
      </c>
      <c r="X82" s="872">
        <f t="shared" si="13"/>
        <v>36.427777777778488</v>
      </c>
      <c r="Y82" s="872">
        <f t="shared" si="13"/>
        <v>38.622222222222476</v>
      </c>
      <c r="Z82" s="872">
        <f t="shared" si="13"/>
        <v>30.722222222223095</v>
      </c>
      <c r="AA82" s="872">
        <f t="shared" si="13"/>
        <v>34.233333333332759</v>
      </c>
      <c r="AB82" s="872">
        <f t="shared" si="13"/>
        <v>36.427777777778488</v>
      </c>
      <c r="AC82" s="872">
        <f t="shared" si="13"/>
        <v>28.527777777776926</v>
      </c>
      <c r="AD82" s="872">
        <f t="shared" si="13"/>
        <v>32.038888888888856</v>
      </c>
      <c r="AE82" s="872">
        <f t="shared" si="13"/>
        <v>34.233333333332759</v>
      </c>
      <c r="AF82" s="872">
        <f t="shared" si="13"/>
        <v>26.333333333333922</v>
      </c>
      <c r="AG82" s="872">
        <f t="shared" si="13"/>
        <v>29.844444444444143</v>
      </c>
      <c r="AH82" s="872">
        <f t="shared" si="7"/>
        <v>32.038888888888856</v>
      </c>
      <c r="AI82" s="872">
        <f t="shared" si="7"/>
        <v>24.138888888888445</v>
      </c>
      <c r="AJ82" s="872">
        <f t="shared" si="7"/>
        <v>27.650000000000858</v>
      </c>
      <c r="AK82" s="872">
        <f t="shared" si="7"/>
        <v>29.844444444444143</v>
      </c>
    </row>
    <row r="83" spans="1:37" ht="13.5" thickBot="1">
      <c r="A83" s="868"/>
      <c r="B83" s="868"/>
      <c r="C83" s="868"/>
      <c r="D83" s="873">
        <f t="shared" si="12"/>
        <v>0.22222222222222193</v>
      </c>
      <c r="E83" s="872">
        <f t="shared" si="11"/>
        <v>62.222222222223969</v>
      </c>
      <c r="F83" s="872">
        <f t="shared" si="11"/>
        <v>65.777777777778965</v>
      </c>
      <c r="G83" s="872">
        <f t="shared" si="11"/>
        <v>67.999999999999943</v>
      </c>
      <c r="H83" s="872">
        <f t="shared" si="11"/>
        <v>57.777777777776073</v>
      </c>
      <c r="I83" s="872">
        <f t="shared" si="11"/>
        <v>61.333333333331595</v>
      </c>
      <c r="J83" s="872">
        <f t="shared" si="11"/>
        <v>63.555555555554669</v>
      </c>
      <c r="K83" s="872">
        <f t="shared" si="11"/>
        <v>53.333333333334508</v>
      </c>
      <c r="L83" s="872">
        <f t="shared" si="11"/>
        <v>56.888888888889596</v>
      </c>
      <c r="M83" s="872">
        <f t="shared" si="11"/>
        <v>59.111111111112301</v>
      </c>
      <c r="N83" s="872">
        <f t="shared" si="11"/>
        <v>40</v>
      </c>
      <c r="O83" s="872">
        <f t="shared" si="11"/>
        <v>43.55555555555388</v>
      </c>
      <c r="P83" s="872">
        <f t="shared" si="11"/>
        <v>45.777777777777601</v>
      </c>
      <c r="Q83" s="872">
        <f t="shared" si="11"/>
        <v>37.777777777776407</v>
      </c>
      <c r="R83" s="872">
        <f t="shared" si="11"/>
        <v>41.333333333332007</v>
      </c>
      <c r="S83" s="872">
        <f t="shared" si="11"/>
        <v>43.55555555555388</v>
      </c>
      <c r="T83" s="872">
        <f t="shared" si="11"/>
        <v>35.555555555554989</v>
      </c>
      <c r="U83" s="872">
        <f t="shared" si="14"/>
        <v>39.111111111111363</v>
      </c>
      <c r="V83" s="872">
        <f t="shared" si="14"/>
        <v>41.333333333332007</v>
      </c>
      <c r="W83" s="872">
        <f t="shared" si="13"/>
        <v>33.333333333333272</v>
      </c>
      <c r="X83" s="872">
        <f t="shared" si="13"/>
        <v>36.888888888889596</v>
      </c>
      <c r="Y83" s="872">
        <f t="shared" si="13"/>
        <v>39.111111111111363</v>
      </c>
      <c r="Z83" s="872">
        <f t="shared" si="13"/>
        <v>31.111111111111985</v>
      </c>
      <c r="AA83" s="872">
        <f t="shared" si="13"/>
        <v>34.666666666666089</v>
      </c>
      <c r="AB83" s="872">
        <f t="shared" si="13"/>
        <v>36.888888888889596</v>
      </c>
      <c r="AC83" s="872">
        <f t="shared" si="13"/>
        <v>28.888888888888037</v>
      </c>
      <c r="AD83" s="872">
        <f t="shared" si="13"/>
        <v>32.444444444444414</v>
      </c>
      <c r="AE83" s="872">
        <f t="shared" si="13"/>
        <v>34.666666666666089</v>
      </c>
      <c r="AF83" s="872">
        <f t="shared" si="13"/>
        <v>26.666666666667254</v>
      </c>
      <c r="AG83" s="872">
        <f t="shared" si="13"/>
        <v>30.222222222221919</v>
      </c>
      <c r="AH83" s="872">
        <f t="shared" si="7"/>
        <v>32.444444444444414</v>
      </c>
      <c r="AI83" s="872">
        <f t="shared" si="7"/>
        <v>24.444444444444002</v>
      </c>
      <c r="AJ83" s="872">
        <f t="shared" si="7"/>
        <v>28.00000000000086</v>
      </c>
      <c r="AK83" s="872">
        <f t="shared" si="7"/>
        <v>30.222222222221919</v>
      </c>
    </row>
    <row r="84" spans="1:37" ht="13.5" thickBot="1">
      <c r="A84" s="868"/>
      <c r="B84" s="868"/>
      <c r="C84" s="868"/>
      <c r="D84" s="873">
        <f t="shared" si="12"/>
        <v>0.2249999999999997</v>
      </c>
      <c r="E84" s="872">
        <f>E85-(E$363/360)</f>
        <v>63.000000000001748</v>
      </c>
      <c r="F84" s="872">
        <f t="shared" ref="F84:T84" si="15">F85-(F$363/360)</f>
        <v>66.600000000001188</v>
      </c>
      <c r="G84" s="872">
        <f t="shared" si="15"/>
        <v>68.849999999999937</v>
      </c>
      <c r="H84" s="872">
        <f t="shared" si="15"/>
        <v>58.499999999998295</v>
      </c>
      <c r="I84" s="872">
        <f t="shared" si="15"/>
        <v>62.099999999998261</v>
      </c>
      <c r="J84" s="872">
        <f t="shared" si="15"/>
        <v>64.349999999999113</v>
      </c>
      <c r="K84" s="872">
        <f t="shared" si="15"/>
        <v>54.000000000001172</v>
      </c>
      <c r="L84" s="872">
        <f t="shared" si="15"/>
        <v>57.600000000000705</v>
      </c>
      <c r="M84" s="872">
        <f t="shared" si="15"/>
        <v>59.850000000001188</v>
      </c>
      <c r="N84" s="872">
        <f t="shared" si="15"/>
        <v>40.5</v>
      </c>
      <c r="O84" s="872">
        <f t="shared" si="15"/>
        <v>44.099999999998325</v>
      </c>
      <c r="P84" s="872">
        <f t="shared" si="15"/>
        <v>46.349999999999824</v>
      </c>
      <c r="Q84" s="872">
        <f t="shared" si="15"/>
        <v>38.249999999998629</v>
      </c>
      <c r="R84" s="872">
        <f t="shared" si="15"/>
        <v>41.849999999998673</v>
      </c>
      <c r="S84" s="872">
        <f t="shared" si="15"/>
        <v>44.099999999998325</v>
      </c>
      <c r="T84" s="872">
        <f t="shared" si="15"/>
        <v>35.999999999999432</v>
      </c>
      <c r="U84" s="872">
        <f t="shared" si="14"/>
        <v>39.60000000000025</v>
      </c>
      <c r="V84" s="872">
        <f t="shared" si="14"/>
        <v>41.849999999998673</v>
      </c>
      <c r="W84" s="872">
        <f t="shared" si="13"/>
        <v>33.749999999999936</v>
      </c>
      <c r="X84" s="872">
        <f t="shared" si="13"/>
        <v>37.350000000000705</v>
      </c>
      <c r="Y84" s="872">
        <f t="shared" si="13"/>
        <v>39.60000000000025</v>
      </c>
      <c r="Z84" s="872">
        <f t="shared" si="13"/>
        <v>31.500000000000874</v>
      </c>
      <c r="AA84" s="872">
        <f t="shared" si="13"/>
        <v>35.099999999999419</v>
      </c>
      <c r="AB84" s="872">
        <f t="shared" si="13"/>
        <v>37.350000000000705</v>
      </c>
      <c r="AC84" s="872">
        <f t="shared" si="13"/>
        <v>29.249999999999147</v>
      </c>
      <c r="AD84" s="872">
        <f t="shared" si="13"/>
        <v>32.849999999999973</v>
      </c>
      <c r="AE84" s="872">
        <f t="shared" si="13"/>
        <v>35.099999999999419</v>
      </c>
      <c r="AF84" s="872">
        <f t="shared" si="13"/>
        <v>27.000000000000586</v>
      </c>
      <c r="AG84" s="872">
        <f t="shared" si="13"/>
        <v>30.599999999999696</v>
      </c>
      <c r="AH84" s="872">
        <f t="shared" si="7"/>
        <v>32.849999999999973</v>
      </c>
      <c r="AI84" s="872">
        <f t="shared" si="7"/>
        <v>24.749999999999559</v>
      </c>
      <c r="AJ84" s="872">
        <f t="shared" si="7"/>
        <v>28.350000000000861</v>
      </c>
      <c r="AK84" s="872">
        <f t="shared" si="7"/>
        <v>30.599999999999696</v>
      </c>
    </row>
    <row r="85" spans="1:37" ht="13.5" thickBot="1">
      <c r="A85" s="868"/>
      <c r="B85" s="868"/>
      <c r="C85" s="868"/>
      <c r="D85" s="873">
        <f t="shared" si="12"/>
        <v>0.22777777777777747</v>
      </c>
      <c r="E85" s="872">
        <f t="shared" ref="E85:T100" si="16">E86-(E$363/360)</f>
        <v>63.777777777779527</v>
      </c>
      <c r="F85" s="872">
        <f t="shared" si="16"/>
        <v>67.422222222223411</v>
      </c>
      <c r="G85" s="872">
        <f t="shared" si="16"/>
        <v>69.699999999999932</v>
      </c>
      <c r="H85" s="872">
        <f t="shared" si="16"/>
        <v>59.222222222220516</v>
      </c>
      <c r="I85" s="872">
        <f t="shared" si="16"/>
        <v>62.866666666664926</v>
      </c>
      <c r="J85" s="872">
        <f t="shared" si="16"/>
        <v>65.144444444443565</v>
      </c>
      <c r="K85" s="872">
        <f t="shared" si="16"/>
        <v>54.666666666667837</v>
      </c>
      <c r="L85" s="872">
        <f t="shared" si="16"/>
        <v>58.311111111111813</v>
      </c>
      <c r="M85" s="872">
        <f t="shared" si="16"/>
        <v>60.588888888890075</v>
      </c>
      <c r="N85" s="872">
        <f t="shared" si="16"/>
        <v>41</v>
      </c>
      <c r="O85" s="872">
        <f t="shared" si="16"/>
        <v>44.644444444442769</v>
      </c>
      <c r="P85" s="872">
        <f t="shared" si="16"/>
        <v>46.922222222222047</v>
      </c>
      <c r="Q85" s="872">
        <f t="shared" si="16"/>
        <v>38.72222222222085</v>
      </c>
      <c r="R85" s="872">
        <f t="shared" si="16"/>
        <v>42.366666666665338</v>
      </c>
      <c r="S85" s="872">
        <f t="shared" si="16"/>
        <v>44.644444444442769</v>
      </c>
      <c r="T85" s="872">
        <f t="shared" si="16"/>
        <v>36.444444444443874</v>
      </c>
      <c r="U85" s="872">
        <f t="shared" si="14"/>
        <v>40.088888888889137</v>
      </c>
      <c r="V85" s="872">
        <f t="shared" si="14"/>
        <v>42.366666666665338</v>
      </c>
      <c r="W85" s="872">
        <f t="shared" si="13"/>
        <v>34.1666666666666</v>
      </c>
      <c r="X85" s="872">
        <f t="shared" si="13"/>
        <v>37.811111111111813</v>
      </c>
      <c r="Y85" s="872">
        <f t="shared" si="13"/>
        <v>40.088888888889137</v>
      </c>
      <c r="Z85" s="872">
        <f t="shared" si="13"/>
        <v>31.888888888889763</v>
      </c>
      <c r="AA85" s="872">
        <f t="shared" si="13"/>
        <v>35.533333333332749</v>
      </c>
      <c r="AB85" s="872">
        <f t="shared" si="13"/>
        <v>37.811111111111813</v>
      </c>
      <c r="AC85" s="872">
        <f t="shared" si="13"/>
        <v>29.611111111110258</v>
      </c>
      <c r="AD85" s="872">
        <f t="shared" si="13"/>
        <v>33.255555555555532</v>
      </c>
      <c r="AE85" s="872">
        <f t="shared" si="13"/>
        <v>35.533333333332749</v>
      </c>
      <c r="AF85" s="872">
        <f t="shared" si="13"/>
        <v>27.333333333333918</v>
      </c>
      <c r="AG85" s="872">
        <f t="shared" si="13"/>
        <v>30.977777777777472</v>
      </c>
      <c r="AH85" s="872">
        <f t="shared" si="7"/>
        <v>33.255555555555532</v>
      </c>
      <c r="AI85" s="872">
        <f t="shared" si="7"/>
        <v>25.055555555555117</v>
      </c>
      <c r="AJ85" s="872">
        <f t="shared" si="7"/>
        <v>28.700000000000863</v>
      </c>
      <c r="AK85" s="872">
        <f t="shared" si="7"/>
        <v>30.977777777777472</v>
      </c>
    </row>
    <row r="86" spans="1:37" ht="13.5" thickBot="1">
      <c r="A86" s="868"/>
      <c r="B86" s="868"/>
      <c r="C86" s="868"/>
      <c r="D86" s="873">
        <f t="shared" si="12"/>
        <v>0.23055555555555524</v>
      </c>
      <c r="E86" s="872">
        <f t="shared" si="16"/>
        <v>64.555555555557305</v>
      </c>
      <c r="F86" s="872">
        <f t="shared" si="16"/>
        <v>68.244444444445634</v>
      </c>
      <c r="G86" s="872">
        <f t="shared" si="16"/>
        <v>70.549999999999926</v>
      </c>
      <c r="H86" s="872">
        <f t="shared" si="16"/>
        <v>59.944444444442738</v>
      </c>
      <c r="I86" s="872">
        <f t="shared" si="16"/>
        <v>63.633333333331592</v>
      </c>
      <c r="J86" s="872">
        <f t="shared" si="16"/>
        <v>65.938888888888016</v>
      </c>
      <c r="K86" s="872">
        <f t="shared" si="16"/>
        <v>55.333333333334501</v>
      </c>
      <c r="L86" s="872">
        <f t="shared" si="16"/>
        <v>59.022222222222922</v>
      </c>
      <c r="M86" s="872">
        <f t="shared" si="16"/>
        <v>61.327777777778962</v>
      </c>
      <c r="N86" s="872">
        <f t="shared" si="16"/>
        <v>41.5</v>
      </c>
      <c r="O86" s="872">
        <f t="shared" si="16"/>
        <v>45.188888888887213</v>
      </c>
      <c r="P86" s="872">
        <f t="shared" si="16"/>
        <v>47.494444444444269</v>
      </c>
      <c r="Q86" s="872">
        <f t="shared" si="16"/>
        <v>39.194444444443072</v>
      </c>
      <c r="R86" s="872">
        <f t="shared" si="16"/>
        <v>42.883333333332004</v>
      </c>
      <c r="S86" s="872">
        <f t="shared" si="16"/>
        <v>45.188888888887213</v>
      </c>
      <c r="T86" s="872">
        <f t="shared" si="16"/>
        <v>36.888888888888317</v>
      </c>
      <c r="U86" s="872">
        <f t="shared" si="14"/>
        <v>40.577777777778024</v>
      </c>
      <c r="V86" s="872">
        <f t="shared" si="14"/>
        <v>42.883333333332004</v>
      </c>
      <c r="W86" s="872">
        <f t="shared" si="13"/>
        <v>34.583333333333265</v>
      </c>
      <c r="X86" s="872">
        <f t="shared" si="13"/>
        <v>38.272222222222922</v>
      </c>
      <c r="Y86" s="872">
        <f t="shared" si="13"/>
        <v>40.577777777778024</v>
      </c>
      <c r="Z86" s="872">
        <f t="shared" si="13"/>
        <v>32.277777777778653</v>
      </c>
      <c r="AA86" s="872">
        <f t="shared" si="13"/>
        <v>35.966666666666079</v>
      </c>
      <c r="AB86" s="872">
        <f t="shared" si="13"/>
        <v>38.272222222222922</v>
      </c>
      <c r="AC86" s="872">
        <f t="shared" si="13"/>
        <v>29.972222222221369</v>
      </c>
      <c r="AD86" s="872">
        <f t="shared" si="13"/>
        <v>33.66111111111109</v>
      </c>
      <c r="AE86" s="872">
        <f t="shared" si="13"/>
        <v>35.966666666666079</v>
      </c>
      <c r="AF86" s="872">
        <f t="shared" si="13"/>
        <v>27.66666666666725</v>
      </c>
      <c r="AG86" s="872">
        <f t="shared" si="13"/>
        <v>31.355555555555249</v>
      </c>
      <c r="AH86" s="872">
        <f t="shared" si="7"/>
        <v>33.66111111111109</v>
      </c>
      <c r="AI86" s="872">
        <f t="shared" si="7"/>
        <v>25.361111111110674</v>
      </c>
      <c r="AJ86" s="872">
        <f t="shared" si="7"/>
        <v>29.050000000000864</v>
      </c>
      <c r="AK86" s="872">
        <f t="shared" si="7"/>
        <v>31.355555555555249</v>
      </c>
    </row>
    <row r="87" spans="1:37" ht="13.5" thickBot="1">
      <c r="A87" s="868"/>
      <c r="B87" s="868"/>
      <c r="C87" s="868"/>
      <c r="D87" s="873">
        <f t="shared" si="12"/>
        <v>0.233333333333333</v>
      </c>
      <c r="E87" s="872">
        <f t="shared" si="16"/>
        <v>65.333333333335077</v>
      </c>
      <c r="F87" s="872">
        <f t="shared" si="16"/>
        <v>69.066666666667857</v>
      </c>
      <c r="G87" s="872">
        <f t="shared" si="16"/>
        <v>71.39999999999992</v>
      </c>
      <c r="H87" s="872">
        <f t="shared" si="16"/>
        <v>60.666666666664959</v>
      </c>
      <c r="I87" s="872">
        <f t="shared" si="16"/>
        <v>64.399999999998258</v>
      </c>
      <c r="J87" s="872">
        <f t="shared" si="16"/>
        <v>66.733333333332467</v>
      </c>
      <c r="K87" s="872">
        <f t="shared" si="16"/>
        <v>56.000000000001165</v>
      </c>
      <c r="L87" s="872">
        <f t="shared" si="16"/>
        <v>59.733333333334031</v>
      </c>
      <c r="M87" s="872">
        <f t="shared" si="16"/>
        <v>62.066666666667849</v>
      </c>
      <c r="N87" s="872">
        <f t="shared" si="16"/>
        <v>42</v>
      </c>
      <c r="O87" s="872">
        <f t="shared" si="16"/>
        <v>45.733333333331657</v>
      </c>
      <c r="P87" s="872">
        <f t="shared" si="16"/>
        <v>48.066666666666492</v>
      </c>
      <c r="Q87" s="872">
        <f t="shared" si="16"/>
        <v>39.666666666665293</v>
      </c>
      <c r="R87" s="872">
        <f t="shared" si="16"/>
        <v>43.39999999999867</v>
      </c>
      <c r="S87" s="872">
        <f t="shared" si="16"/>
        <v>45.733333333331657</v>
      </c>
      <c r="T87" s="872">
        <f t="shared" si="16"/>
        <v>37.33333333333276</v>
      </c>
      <c r="U87" s="872">
        <f t="shared" si="14"/>
        <v>41.066666666666912</v>
      </c>
      <c r="V87" s="872">
        <f t="shared" si="14"/>
        <v>43.39999999999867</v>
      </c>
      <c r="W87" s="872">
        <f t="shared" si="13"/>
        <v>34.999999999999929</v>
      </c>
      <c r="X87" s="872">
        <f t="shared" si="13"/>
        <v>38.733333333334031</v>
      </c>
      <c r="Y87" s="872">
        <f t="shared" si="13"/>
        <v>41.066666666666912</v>
      </c>
      <c r="Z87" s="872">
        <f t="shared" si="13"/>
        <v>32.666666666667538</v>
      </c>
      <c r="AA87" s="872">
        <f t="shared" si="13"/>
        <v>36.399999999999409</v>
      </c>
      <c r="AB87" s="872">
        <f t="shared" si="13"/>
        <v>38.733333333334031</v>
      </c>
      <c r="AC87" s="872">
        <f t="shared" si="13"/>
        <v>30.333333333332479</v>
      </c>
      <c r="AD87" s="872">
        <f t="shared" si="13"/>
        <v>34.066666666666649</v>
      </c>
      <c r="AE87" s="872">
        <f t="shared" si="13"/>
        <v>36.399999999999409</v>
      </c>
      <c r="AF87" s="872">
        <f t="shared" si="13"/>
        <v>28.000000000000583</v>
      </c>
      <c r="AG87" s="872">
        <f t="shared" si="13"/>
        <v>31.733333333333025</v>
      </c>
      <c r="AH87" s="872">
        <f t="shared" si="7"/>
        <v>34.066666666666649</v>
      </c>
      <c r="AI87" s="872">
        <f t="shared" si="7"/>
        <v>25.666666666666231</v>
      </c>
      <c r="AJ87" s="872">
        <f t="shared" si="7"/>
        <v>29.400000000000865</v>
      </c>
      <c r="AK87" s="872">
        <f t="shared" si="7"/>
        <v>31.733333333333025</v>
      </c>
    </row>
    <row r="88" spans="1:37" ht="13.5" thickBot="1">
      <c r="A88" s="868"/>
      <c r="B88" s="868"/>
      <c r="C88" s="868"/>
      <c r="D88" s="873">
        <f t="shared" si="12"/>
        <v>0.23611111111111077</v>
      </c>
      <c r="E88" s="872">
        <f t="shared" si="16"/>
        <v>66.111111111112848</v>
      </c>
      <c r="F88" s="872">
        <f t="shared" si="16"/>
        <v>69.888888888890079</v>
      </c>
      <c r="G88" s="872">
        <f t="shared" si="16"/>
        <v>72.249999999999915</v>
      </c>
      <c r="H88" s="872">
        <f t="shared" si="16"/>
        <v>61.38888888888718</v>
      </c>
      <c r="I88" s="872">
        <f t="shared" si="16"/>
        <v>65.166666666664923</v>
      </c>
      <c r="J88" s="872">
        <f t="shared" si="16"/>
        <v>67.527777777776919</v>
      </c>
      <c r="K88" s="872">
        <f t="shared" si="16"/>
        <v>56.66666666666783</v>
      </c>
      <c r="L88" s="872">
        <f t="shared" si="16"/>
        <v>60.444444444445139</v>
      </c>
      <c r="M88" s="872">
        <f t="shared" si="16"/>
        <v>62.805555555556737</v>
      </c>
      <c r="N88" s="872">
        <f t="shared" si="16"/>
        <v>42.5</v>
      </c>
      <c r="O88" s="872">
        <f t="shared" si="16"/>
        <v>46.277777777776102</v>
      </c>
      <c r="P88" s="872">
        <f t="shared" si="16"/>
        <v>48.638888888888715</v>
      </c>
      <c r="Q88" s="872">
        <f t="shared" si="16"/>
        <v>40.138888888887514</v>
      </c>
      <c r="R88" s="872">
        <f t="shared" si="16"/>
        <v>43.916666666665336</v>
      </c>
      <c r="S88" s="872">
        <f t="shared" si="16"/>
        <v>46.277777777776102</v>
      </c>
      <c r="T88" s="872">
        <f t="shared" si="16"/>
        <v>37.777777777777203</v>
      </c>
      <c r="U88" s="872">
        <f t="shared" si="14"/>
        <v>41.555555555555799</v>
      </c>
      <c r="V88" s="872">
        <f t="shared" si="14"/>
        <v>43.916666666665336</v>
      </c>
      <c r="W88" s="872">
        <f t="shared" si="13"/>
        <v>35.416666666666593</v>
      </c>
      <c r="X88" s="872">
        <f t="shared" si="13"/>
        <v>39.194444444445139</v>
      </c>
      <c r="Y88" s="872">
        <f t="shared" si="13"/>
        <v>41.555555555555799</v>
      </c>
      <c r="Z88" s="872">
        <f t="shared" si="13"/>
        <v>33.055555555556424</v>
      </c>
      <c r="AA88" s="872">
        <f t="shared" si="13"/>
        <v>36.833333333332739</v>
      </c>
      <c r="AB88" s="872">
        <f t="shared" si="13"/>
        <v>39.194444444445139</v>
      </c>
      <c r="AC88" s="872">
        <f t="shared" si="13"/>
        <v>30.69444444444359</v>
      </c>
      <c r="AD88" s="872">
        <f t="shared" si="13"/>
        <v>34.472222222222207</v>
      </c>
      <c r="AE88" s="872">
        <f t="shared" si="13"/>
        <v>36.833333333332739</v>
      </c>
      <c r="AF88" s="872">
        <f t="shared" si="13"/>
        <v>28.333333333333915</v>
      </c>
      <c r="AG88" s="872">
        <f t="shared" si="13"/>
        <v>32.111111111110802</v>
      </c>
      <c r="AH88" s="872">
        <f t="shared" si="7"/>
        <v>34.472222222222207</v>
      </c>
      <c r="AI88" s="872">
        <f t="shared" si="7"/>
        <v>25.972222222221788</v>
      </c>
      <c r="AJ88" s="872">
        <f t="shared" si="7"/>
        <v>29.750000000000867</v>
      </c>
      <c r="AK88" s="872">
        <f t="shared" si="7"/>
        <v>32.111111111110802</v>
      </c>
    </row>
    <row r="89" spans="1:37" ht="13.5" thickBot="1">
      <c r="A89" s="868"/>
      <c r="B89" s="868"/>
      <c r="C89" s="868"/>
      <c r="D89" s="873">
        <f t="shared" si="12"/>
        <v>0.23888888888888854</v>
      </c>
      <c r="E89" s="872">
        <f t="shared" si="16"/>
        <v>66.888888888890619</v>
      </c>
      <c r="F89" s="872">
        <f t="shared" si="16"/>
        <v>70.711111111112302</v>
      </c>
      <c r="G89" s="872">
        <f t="shared" si="16"/>
        <v>73.099999999999909</v>
      </c>
      <c r="H89" s="872">
        <f t="shared" si="16"/>
        <v>62.111111111109402</v>
      </c>
      <c r="I89" s="872">
        <f t="shared" si="16"/>
        <v>65.933333333331589</v>
      </c>
      <c r="J89" s="872">
        <f t="shared" si="16"/>
        <v>68.32222222222137</v>
      </c>
      <c r="K89" s="872">
        <f t="shared" si="16"/>
        <v>57.333333333334494</v>
      </c>
      <c r="L89" s="872">
        <f t="shared" si="16"/>
        <v>61.155555555556248</v>
      </c>
      <c r="M89" s="872">
        <f t="shared" si="16"/>
        <v>63.544444444445624</v>
      </c>
      <c r="N89" s="872">
        <f t="shared" si="16"/>
        <v>43</v>
      </c>
      <c r="O89" s="872">
        <f t="shared" si="16"/>
        <v>46.822222222220546</v>
      </c>
      <c r="P89" s="872">
        <f t="shared" si="16"/>
        <v>49.211111111110938</v>
      </c>
      <c r="Q89" s="872">
        <f t="shared" si="16"/>
        <v>40.611111111109736</v>
      </c>
      <c r="R89" s="872">
        <f t="shared" si="16"/>
        <v>44.433333333332001</v>
      </c>
      <c r="S89" s="872">
        <f t="shared" si="16"/>
        <v>46.822222222220546</v>
      </c>
      <c r="T89" s="872">
        <f t="shared" si="16"/>
        <v>38.222222222221646</v>
      </c>
      <c r="U89" s="872">
        <f t="shared" si="14"/>
        <v>42.044444444444686</v>
      </c>
      <c r="V89" s="872">
        <f t="shared" si="14"/>
        <v>44.433333333332001</v>
      </c>
      <c r="W89" s="872">
        <f t="shared" si="13"/>
        <v>35.833333333333258</v>
      </c>
      <c r="X89" s="872">
        <f t="shared" si="13"/>
        <v>39.655555555556248</v>
      </c>
      <c r="Y89" s="872">
        <f t="shared" si="13"/>
        <v>42.044444444444686</v>
      </c>
      <c r="Z89" s="872">
        <f t="shared" si="13"/>
        <v>33.44444444444531</v>
      </c>
      <c r="AA89" s="872">
        <f t="shared" si="13"/>
        <v>37.266666666666069</v>
      </c>
      <c r="AB89" s="872">
        <f t="shared" si="13"/>
        <v>39.655555555556248</v>
      </c>
      <c r="AC89" s="872">
        <f t="shared" si="13"/>
        <v>31.055555555554701</v>
      </c>
      <c r="AD89" s="872">
        <f t="shared" si="13"/>
        <v>34.877777777777766</v>
      </c>
      <c r="AE89" s="872">
        <f t="shared" si="13"/>
        <v>37.266666666666069</v>
      </c>
      <c r="AF89" s="872">
        <f t="shared" si="13"/>
        <v>28.666666666667247</v>
      </c>
      <c r="AG89" s="872">
        <f t="shared" si="13"/>
        <v>32.488888888888582</v>
      </c>
      <c r="AH89" s="872">
        <f t="shared" si="7"/>
        <v>34.877777777777766</v>
      </c>
      <c r="AI89" s="872">
        <f t="shared" si="7"/>
        <v>26.277777777777345</v>
      </c>
      <c r="AJ89" s="872">
        <f t="shared" si="7"/>
        <v>30.100000000000868</v>
      </c>
      <c r="AK89" s="872">
        <f t="shared" si="7"/>
        <v>32.488888888888582</v>
      </c>
    </row>
    <row r="90" spans="1:37" ht="13.5" thickBot="1">
      <c r="A90" s="868"/>
      <c r="B90" s="868"/>
      <c r="C90" s="868"/>
      <c r="D90" s="873">
        <f t="shared" si="12"/>
        <v>0.24166666666666631</v>
      </c>
      <c r="E90" s="872">
        <f t="shared" si="16"/>
        <v>67.666666666668391</v>
      </c>
      <c r="F90" s="872">
        <f t="shared" si="16"/>
        <v>71.533333333334525</v>
      </c>
      <c r="G90" s="872">
        <f t="shared" si="16"/>
        <v>73.949999999999903</v>
      </c>
      <c r="H90" s="872">
        <f t="shared" si="16"/>
        <v>62.833333333331623</v>
      </c>
      <c r="I90" s="872">
        <f t="shared" si="16"/>
        <v>66.699999999998255</v>
      </c>
      <c r="J90" s="872">
        <f t="shared" si="16"/>
        <v>69.116666666665822</v>
      </c>
      <c r="K90" s="872">
        <f t="shared" si="16"/>
        <v>58.000000000001158</v>
      </c>
      <c r="L90" s="872">
        <f t="shared" si="16"/>
        <v>61.866666666667356</v>
      </c>
      <c r="M90" s="872">
        <f t="shared" si="16"/>
        <v>64.283333333334511</v>
      </c>
      <c r="N90" s="872">
        <f t="shared" si="16"/>
        <v>43.5</v>
      </c>
      <c r="O90" s="872">
        <f t="shared" si="16"/>
        <v>47.36666666666499</v>
      </c>
      <c r="P90" s="872">
        <f t="shared" si="16"/>
        <v>49.783333333333161</v>
      </c>
      <c r="Q90" s="872">
        <f t="shared" si="16"/>
        <v>41.083333333331957</v>
      </c>
      <c r="R90" s="872">
        <f t="shared" si="16"/>
        <v>44.949999999998667</v>
      </c>
      <c r="S90" s="872">
        <f t="shared" si="16"/>
        <v>47.36666666666499</v>
      </c>
      <c r="T90" s="872">
        <f t="shared" si="16"/>
        <v>38.666666666666089</v>
      </c>
      <c r="U90" s="872">
        <f t="shared" si="14"/>
        <v>42.533333333333573</v>
      </c>
      <c r="V90" s="872">
        <f t="shared" si="14"/>
        <v>44.949999999998667</v>
      </c>
      <c r="W90" s="872">
        <f t="shared" si="13"/>
        <v>36.249999999999922</v>
      </c>
      <c r="X90" s="872">
        <f t="shared" si="13"/>
        <v>40.116666666667356</v>
      </c>
      <c r="Y90" s="872">
        <f t="shared" si="13"/>
        <v>42.533333333333573</v>
      </c>
      <c r="Z90" s="872">
        <f t="shared" si="13"/>
        <v>33.833333333334195</v>
      </c>
      <c r="AA90" s="872">
        <f t="shared" si="13"/>
        <v>37.699999999999399</v>
      </c>
      <c r="AB90" s="872">
        <f t="shared" si="13"/>
        <v>40.116666666667356</v>
      </c>
      <c r="AC90" s="872">
        <f t="shared" si="13"/>
        <v>31.416666666665812</v>
      </c>
      <c r="AD90" s="872">
        <f t="shared" si="13"/>
        <v>35.283333333333324</v>
      </c>
      <c r="AE90" s="872">
        <f t="shared" si="13"/>
        <v>37.699999999999399</v>
      </c>
      <c r="AF90" s="872">
        <f t="shared" si="13"/>
        <v>29.000000000000579</v>
      </c>
      <c r="AG90" s="872">
        <f t="shared" si="13"/>
        <v>32.866666666666362</v>
      </c>
      <c r="AH90" s="872">
        <f t="shared" si="7"/>
        <v>35.283333333333324</v>
      </c>
      <c r="AI90" s="872">
        <f t="shared" si="7"/>
        <v>26.583333333332902</v>
      </c>
      <c r="AJ90" s="872">
        <f t="shared" si="7"/>
        <v>30.45000000000087</v>
      </c>
      <c r="AK90" s="872">
        <f t="shared" si="7"/>
        <v>32.866666666666362</v>
      </c>
    </row>
    <row r="91" spans="1:37" ht="13.5" thickBot="1">
      <c r="A91" s="868"/>
      <c r="B91" s="868"/>
      <c r="C91" s="868"/>
      <c r="D91" s="873">
        <f t="shared" si="12"/>
        <v>0.24444444444444408</v>
      </c>
      <c r="E91" s="872">
        <f t="shared" si="16"/>
        <v>68.444444444446162</v>
      </c>
      <c r="F91" s="872">
        <f t="shared" si="16"/>
        <v>72.355555555556748</v>
      </c>
      <c r="G91" s="872">
        <f t="shared" si="16"/>
        <v>74.799999999999898</v>
      </c>
      <c r="H91" s="872">
        <f t="shared" si="16"/>
        <v>63.555555555553845</v>
      </c>
      <c r="I91" s="872">
        <f t="shared" si="16"/>
        <v>67.466666666664921</v>
      </c>
      <c r="J91" s="872">
        <f t="shared" si="16"/>
        <v>69.911111111110273</v>
      </c>
      <c r="K91" s="872">
        <f t="shared" si="16"/>
        <v>58.666666666667822</v>
      </c>
      <c r="L91" s="872">
        <f t="shared" si="16"/>
        <v>62.577777777778465</v>
      </c>
      <c r="M91" s="872">
        <f t="shared" si="16"/>
        <v>65.022222222223405</v>
      </c>
      <c r="N91" s="872">
        <f t="shared" si="16"/>
        <v>44</v>
      </c>
      <c r="O91" s="872">
        <f t="shared" si="16"/>
        <v>47.911111111109435</v>
      </c>
      <c r="P91" s="872">
        <f t="shared" si="16"/>
        <v>50.355555555555384</v>
      </c>
      <c r="Q91" s="872">
        <f t="shared" si="16"/>
        <v>41.555555555554179</v>
      </c>
      <c r="R91" s="872">
        <f t="shared" si="16"/>
        <v>45.466666666665333</v>
      </c>
      <c r="S91" s="872">
        <f t="shared" si="16"/>
        <v>47.911111111109435</v>
      </c>
      <c r="T91" s="872">
        <f t="shared" si="16"/>
        <v>39.111111111110532</v>
      </c>
      <c r="U91" s="872">
        <f t="shared" ref="U91:AD113" si="17">U92-(U$363/360)</f>
        <v>43.02222222222246</v>
      </c>
      <c r="V91" s="872">
        <f t="shared" si="17"/>
        <v>45.466666666665333</v>
      </c>
      <c r="W91" s="872">
        <f t="shared" si="13"/>
        <v>36.666666666666586</v>
      </c>
      <c r="X91" s="872">
        <f t="shared" si="13"/>
        <v>40.577777777778465</v>
      </c>
      <c r="Y91" s="872">
        <f t="shared" si="13"/>
        <v>43.02222222222246</v>
      </c>
      <c r="Z91" s="872">
        <f t="shared" si="13"/>
        <v>34.222222222223081</v>
      </c>
      <c r="AA91" s="872">
        <f t="shared" si="13"/>
        <v>38.133333333332729</v>
      </c>
      <c r="AB91" s="872">
        <f t="shared" si="13"/>
        <v>40.577777777778465</v>
      </c>
      <c r="AC91" s="872">
        <f t="shared" si="13"/>
        <v>31.777777777776922</v>
      </c>
      <c r="AD91" s="872">
        <f t="shared" si="13"/>
        <v>35.688888888888883</v>
      </c>
      <c r="AE91" s="872">
        <f t="shared" si="13"/>
        <v>38.133333333332729</v>
      </c>
      <c r="AF91" s="872">
        <f t="shared" si="13"/>
        <v>29.333333333333911</v>
      </c>
      <c r="AG91" s="872">
        <f t="shared" si="13"/>
        <v>33.244444444444142</v>
      </c>
      <c r="AH91" s="872">
        <f t="shared" si="7"/>
        <v>35.688888888888883</v>
      </c>
      <c r="AI91" s="872">
        <f t="shared" si="7"/>
        <v>26.888888888888459</v>
      </c>
      <c r="AJ91" s="872">
        <f t="shared" si="7"/>
        <v>30.800000000000871</v>
      </c>
      <c r="AK91" s="872">
        <f t="shared" si="7"/>
        <v>33.244444444444142</v>
      </c>
    </row>
    <row r="92" spans="1:37" ht="13.5" thickBot="1">
      <c r="A92" s="868"/>
      <c r="B92" s="868"/>
      <c r="C92" s="868"/>
      <c r="D92" s="873">
        <f t="shared" si="12"/>
        <v>0.24722222222222184</v>
      </c>
      <c r="E92" s="872">
        <f t="shared" si="16"/>
        <v>69.222222222223934</v>
      </c>
      <c r="F92" s="872">
        <f t="shared" si="16"/>
        <v>73.177777777778971</v>
      </c>
      <c r="G92" s="872">
        <f t="shared" si="16"/>
        <v>75.649999999999892</v>
      </c>
      <c r="H92" s="872">
        <f t="shared" si="16"/>
        <v>64.277777777776066</v>
      </c>
      <c r="I92" s="872">
        <f t="shared" si="16"/>
        <v>68.233333333331586</v>
      </c>
      <c r="J92" s="872">
        <f t="shared" si="16"/>
        <v>70.705555555554724</v>
      </c>
      <c r="K92" s="872">
        <f t="shared" si="16"/>
        <v>59.333333333334487</v>
      </c>
      <c r="L92" s="872">
        <f t="shared" si="16"/>
        <v>63.288888888889574</v>
      </c>
      <c r="M92" s="872">
        <f t="shared" si="16"/>
        <v>65.761111111112299</v>
      </c>
      <c r="N92" s="872">
        <f t="shared" si="16"/>
        <v>44.5</v>
      </c>
      <c r="O92" s="872">
        <f t="shared" si="16"/>
        <v>48.455555555553879</v>
      </c>
      <c r="P92" s="872">
        <f t="shared" si="16"/>
        <v>50.927777777777607</v>
      </c>
      <c r="Q92" s="872">
        <f t="shared" si="16"/>
        <v>42.0277777777764</v>
      </c>
      <c r="R92" s="872">
        <f t="shared" si="16"/>
        <v>45.983333333331998</v>
      </c>
      <c r="S92" s="872">
        <f t="shared" si="16"/>
        <v>48.455555555553879</v>
      </c>
      <c r="T92" s="872">
        <f t="shared" si="16"/>
        <v>39.555555555554974</v>
      </c>
      <c r="U92" s="872">
        <f t="shared" si="17"/>
        <v>43.511111111111347</v>
      </c>
      <c r="V92" s="872">
        <f t="shared" si="17"/>
        <v>45.983333333331998</v>
      </c>
      <c r="W92" s="872">
        <f t="shared" si="13"/>
        <v>37.08333333333325</v>
      </c>
      <c r="X92" s="872">
        <f t="shared" si="13"/>
        <v>41.038888888889574</v>
      </c>
      <c r="Y92" s="872">
        <f t="shared" si="13"/>
        <v>43.511111111111347</v>
      </c>
      <c r="Z92" s="872">
        <f t="shared" si="13"/>
        <v>34.611111111111967</v>
      </c>
      <c r="AA92" s="872">
        <f t="shared" si="13"/>
        <v>38.566666666666059</v>
      </c>
      <c r="AB92" s="872">
        <f t="shared" si="13"/>
        <v>41.038888888889574</v>
      </c>
      <c r="AC92" s="872">
        <f t="shared" si="13"/>
        <v>32.138888888888033</v>
      </c>
      <c r="AD92" s="872">
        <f t="shared" si="13"/>
        <v>36.094444444444441</v>
      </c>
      <c r="AE92" s="872">
        <f t="shared" si="13"/>
        <v>38.566666666666059</v>
      </c>
      <c r="AF92" s="872">
        <f t="shared" si="13"/>
        <v>29.666666666667243</v>
      </c>
      <c r="AG92" s="872">
        <f t="shared" si="13"/>
        <v>33.622222222221922</v>
      </c>
      <c r="AH92" s="872">
        <f t="shared" si="7"/>
        <v>36.094444444444441</v>
      </c>
      <c r="AI92" s="872">
        <f t="shared" si="7"/>
        <v>27.194444444444017</v>
      </c>
      <c r="AJ92" s="872">
        <f t="shared" si="7"/>
        <v>31.150000000000873</v>
      </c>
      <c r="AK92" s="872">
        <f t="shared" si="7"/>
        <v>33.622222222221922</v>
      </c>
    </row>
    <row r="93" spans="1:37" ht="13.5" thickBot="1">
      <c r="A93" s="868"/>
      <c r="B93" s="868"/>
      <c r="C93" s="868"/>
      <c r="D93" s="873">
        <f t="shared" si="12"/>
        <v>0.24999999999999961</v>
      </c>
      <c r="E93" s="872">
        <f t="shared" si="16"/>
        <v>70.000000000001705</v>
      </c>
      <c r="F93" s="872">
        <f t="shared" si="16"/>
        <v>74.000000000001194</v>
      </c>
      <c r="G93" s="872">
        <f t="shared" si="16"/>
        <v>76.499999999999886</v>
      </c>
      <c r="H93" s="872">
        <f t="shared" si="16"/>
        <v>64.999999999998295</v>
      </c>
      <c r="I93" s="872">
        <f t="shared" si="16"/>
        <v>68.999999999998252</v>
      </c>
      <c r="J93" s="872">
        <f t="shared" si="16"/>
        <v>71.499999999999176</v>
      </c>
      <c r="K93" s="872">
        <f t="shared" si="16"/>
        <v>60.000000000001151</v>
      </c>
      <c r="L93" s="872">
        <f t="shared" si="16"/>
        <v>64.000000000000682</v>
      </c>
      <c r="M93" s="872">
        <f t="shared" si="16"/>
        <v>66.500000000001194</v>
      </c>
      <c r="N93" s="872">
        <f t="shared" si="16"/>
        <v>45</v>
      </c>
      <c r="O93" s="872">
        <f t="shared" si="16"/>
        <v>48.999999999998323</v>
      </c>
      <c r="P93" s="872">
        <f t="shared" si="16"/>
        <v>51.499999999999829</v>
      </c>
      <c r="Q93" s="872">
        <f t="shared" si="16"/>
        <v>42.499999999998622</v>
      </c>
      <c r="R93" s="872">
        <f t="shared" si="16"/>
        <v>46.499999999998664</v>
      </c>
      <c r="S93" s="872">
        <f t="shared" si="16"/>
        <v>48.999999999998323</v>
      </c>
      <c r="T93" s="872">
        <f t="shared" si="16"/>
        <v>39.999999999999417</v>
      </c>
      <c r="U93" s="872">
        <f t="shared" si="17"/>
        <v>44.000000000000234</v>
      </c>
      <c r="V93" s="872">
        <f t="shared" si="17"/>
        <v>46.499999999998664</v>
      </c>
      <c r="W93" s="872">
        <f t="shared" si="13"/>
        <v>37.499999999999915</v>
      </c>
      <c r="X93" s="872">
        <f t="shared" si="13"/>
        <v>41.500000000000682</v>
      </c>
      <c r="Y93" s="872">
        <f t="shared" si="13"/>
        <v>44.000000000000234</v>
      </c>
      <c r="Z93" s="872">
        <f t="shared" si="13"/>
        <v>35.000000000000853</v>
      </c>
      <c r="AA93" s="872">
        <f t="shared" si="13"/>
        <v>38.999999999999389</v>
      </c>
      <c r="AB93" s="872">
        <f t="shared" si="13"/>
        <v>41.500000000000682</v>
      </c>
      <c r="AC93" s="872">
        <f t="shared" si="13"/>
        <v>32.499999999999147</v>
      </c>
      <c r="AD93" s="872">
        <f t="shared" si="13"/>
        <v>36.5</v>
      </c>
      <c r="AE93" s="872">
        <f t="shared" si="13"/>
        <v>38.999999999999389</v>
      </c>
      <c r="AF93" s="872">
        <f t="shared" si="13"/>
        <v>30.000000000000576</v>
      </c>
      <c r="AG93" s="872">
        <f t="shared" si="13"/>
        <v>33.999999999999702</v>
      </c>
      <c r="AH93" s="872">
        <f t="shared" si="7"/>
        <v>36.5</v>
      </c>
      <c r="AI93" s="872">
        <f t="shared" si="7"/>
        <v>27.499999999999574</v>
      </c>
      <c r="AJ93" s="872">
        <f t="shared" si="7"/>
        <v>31.500000000000874</v>
      </c>
      <c r="AK93" s="872">
        <f t="shared" si="7"/>
        <v>33.999999999999702</v>
      </c>
    </row>
    <row r="94" spans="1:37" ht="13.5" thickBot="1">
      <c r="A94" s="868"/>
      <c r="B94" s="868"/>
      <c r="C94" s="868"/>
      <c r="D94" s="873">
        <f t="shared" si="12"/>
        <v>0.25277777777777738</v>
      </c>
      <c r="E94" s="872">
        <f t="shared" si="16"/>
        <v>70.777777777779477</v>
      </c>
      <c r="F94" s="872">
        <f t="shared" si="16"/>
        <v>74.822222222223417</v>
      </c>
      <c r="G94" s="872">
        <f t="shared" si="16"/>
        <v>77.349999999999881</v>
      </c>
      <c r="H94" s="872">
        <f t="shared" si="16"/>
        <v>65.722222222220523</v>
      </c>
      <c r="I94" s="872">
        <f t="shared" si="16"/>
        <v>69.766666666664918</v>
      </c>
      <c r="J94" s="872">
        <f t="shared" si="16"/>
        <v>72.294444444443627</v>
      </c>
      <c r="K94" s="872">
        <f t="shared" si="16"/>
        <v>60.666666666667815</v>
      </c>
      <c r="L94" s="872">
        <f t="shared" si="16"/>
        <v>64.711111111111791</v>
      </c>
      <c r="M94" s="872">
        <f t="shared" si="16"/>
        <v>67.238888888890088</v>
      </c>
      <c r="N94" s="872">
        <f t="shared" si="16"/>
        <v>45.5</v>
      </c>
      <c r="O94" s="872">
        <f t="shared" si="16"/>
        <v>49.544444444442767</v>
      </c>
      <c r="P94" s="872">
        <f t="shared" si="16"/>
        <v>52.072222222222052</v>
      </c>
      <c r="Q94" s="872">
        <f t="shared" si="16"/>
        <v>42.972222222220843</v>
      </c>
      <c r="R94" s="872">
        <f t="shared" si="16"/>
        <v>47.01666666666533</v>
      </c>
      <c r="S94" s="872">
        <f t="shared" si="16"/>
        <v>49.544444444442767</v>
      </c>
      <c r="T94" s="872">
        <f t="shared" si="16"/>
        <v>40.44444444444386</v>
      </c>
      <c r="U94" s="872">
        <f t="shared" si="17"/>
        <v>44.488888888889122</v>
      </c>
      <c r="V94" s="872">
        <f t="shared" si="17"/>
        <v>47.01666666666533</v>
      </c>
      <c r="W94" s="872">
        <f t="shared" si="13"/>
        <v>37.916666666666579</v>
      </c>
      <c r="X94" s="872">
        <f t="shared" si="13"/>
        <v>41.961111111111791</v>
      </c>
      <c r="Y94" s="872">
        <f t="shared" si="13"/>
        <v>44.488888888889122</v>
      </c>
      <c r="Z94" s="872">
        <f t="shared" si="13"/>
        <v>35.388888888889738</v>
      </c>
      <c r="AA94" s="872">
        <f t="shared" si="13"/>
        <v>39.433333333332719</v>
      </c>
      <c r="AB94" s="872">
        <f t="shared" si="13"/>
        <v>41.961111111111791</v>
      </c>
      <c r="AC94" s="872">
        <f t="shared" si="13"/>
        <v>32.861111111110262</v>
      </c>
      <c r="AD94" s="872">
        <f t="shared" si="13"/>
        <v>36.905555555555559</v>
      </c>
      <c r="AE94" s="872">
        <f t="shared" si="13"/>
        <v>39.433333333332719</v>
      </c>
      <c r="AF94" s="872">
        <f t="shared" si="13"/>
        <v>30.333333333333908</v>
      </c>
      <c r="AG94" s="872">
        <f t="shared" si="13"/>
        <v>34.377777777777482</v>
      </c>
      <c r="AH94" s="872">
        <f t="shared" si="7"/>
        <v>36.905555555555559</v>
      </c>
      <c r="AI94" s="872">
        <f t="shared" si="7"/>
        <v>27.805555555555131</v>
      </c>
      <c r="AJ94" s="872">
        <f t="shared" si="7"/>
        <v>31.850000000000875</v>
      </c>
      <c r="AK94" s="872">
        <f t="shared" si="7"/>
        <v>34.377777777777482</v>
      </c>
    </row>
    <row r="95" spans="1:37" ht="13.5" thickBot="1">
      <c r="A95" s="868"/>
      <c r="B95" s="868"/>
      <c r="C95" s="868"/>
      <c r="D95" s="873">
        <f t="shared" si="12"/>
        <v>0.25555555555555515</v>
      </c>
      <c r="E95" s="872">
        <f t="shared" si="16"/>
        <v>71.555555555557248</v>
      </c>
      <c r="F95" s="872">
        <f t="shared" si="16"/>
        <v>75.644444444445639</v>
      </c>
      <c r="G95" s="872">
        <f t="shared" si="16"/>
        <v>78.199999999999875</v>
      </c>
      <c r="H95" s="872">
        <f t="shared" si="16"/>
        <v>66.444444444442752</v>
      </c>
      <c r="I95" s="872">
        <f t="shared" si="16"/>
        <v>70.533333333331584</v>
      </c>
      <c r="J95" s="872">
        <f t="shared" si="16"/>
        <v>73.088888888888079</v>
      </c>
      <c r="K95" s="872">
        <f t="shared" si="16"/>
        <v>61.33333333333448</v>
      </c>
      <c r="L95" s="872">
        <f t="shared" si="16"/>
        <v>65.422222222222899</v>
      </c>
      <c r="M95" s="872">
        <f t="shared" si="16"/>
        <v>67.977777777778982</v>
      </c>
      <c r="N95" s="872">
        <f t="shared" si="16"/>
        <v>46</v>
      </c>
      <c r="O95" s="872">
        <f t="shared" si="16"/>
        <v>50.088888888887212</v>
      </c>
      <c r="P95" s="872">
        <f t="shared" si="16"/>
        <v>52.644444444444275</v>
      </c>
      <c r="Q95" s="872">
        <f t="shared" si="16"/>
        <v>43.444444444443064</v>
      </c>
      <c r="R95" s="872">
        <f t="shared" si="16"/>
        <v>47.533333333331996</v>
      </c>
      <c r="S95" s="872">
        <f t="shared" si="16"/>
        <v>50.088888888887212</v>
      </c>
      <c r="T95" s="872">
        <f t="shared" si="16"/>
        <v>40.888888888888303</v>
      </c>
      <c r="U95" s="872">
        <f t="shared" si="17"/>
        <v>44.977777777778009</v>
      </c>
      <c r="V95" s="872">
        <f t="shared" si="17"/>
        <v>47.533333333331996</v>
      </c>
      <c r="W95" s="872">
        <f t="shared" si="13"/>
        <v>38.333333333333243</v>
      </c>
      <c r="X95" s="872">
        <f t="shared" si="13"/>
        <v>42.422222222222899</v>
      </c>
      <c r="Y95" s="872">
        <f t="shared" si="13"/>
        <v>44.977777777778009</v>
      </c>
      <c r="Z95" s="872">
        <f t="shared" si="13"/>
        <v>35.777777777778624</v>
      </c>
      <c r="AA95" s="872">
        <f t="shared" si="13"/>
        <v>39.866666666666049</v>
      </c>
      <c r="AB95" s="872">
        <f t="shared" si="13"/>
        <v>42.422222222222899</v>
      </c>
      <c r="AC95" s="872">
        <f t="shared" si="13"/>
        <v>33.222222222221376</v>
      </c>
      <c r="AD95" s="872">
        <f t="shared" si="13"/>
        <v>37.311111111111117</v>
      </c>
      <c r="AE95" s="872">
        <f t="shared" si="13"/>
        <v>39.866666666666049</v>
      </c>
      <c r="AF95" s="872">
        <f t="shared" si="13"/>
        <v>30.66666666666724</v>
      </c>
      <c r="AG95" s="872">
        <f t="shared" si="13"/>
        <v>34.755555555555262</v>
      </c>
      <c r="AH95" s="872">
        <f t="shared" si="7"/>
        <v>37.311111111111117</v>
      </c>
      <c r="AI95" s="872">
        <f t="shared" si="7"/>
        <v>28.111111111110688</v>
      </c>
      <c r="AJ95" s="872">
        <f t="shared" si="7"/>
        <v>32.200000000000877</v>
      </c>
      <c r="AK95" s="872">
        <f t="shared" si="7"/>
        <v>34.755555555555262</v>
      </c>
    </row>
    <row r="96" spans="1:37" ht="13.5" thickBot="1">
      <c r="A96" s="868"/>
      <c r="B96" s="868"/>
      <c r="C96" s="868"/>
      <c r="D96" s="873">
        <f t="shared" si="12"/>
        <v>0.25833333333333292</v>
      </c>
      <c r="E96" s="872">
        <f t="shared" si="16"/>
        <v>72.33333333333502</v>
      </c>
      <c r="F96" s="872">
        <f t="shared" si="16"/>
        <v>76.466666666667862</v>
      </c>
      <c r="G96" s="872">
        <f t="shared" si="16"/>
        <v>79.049999999999869</v>
      </c>
      <c r="H96" s="872">
        <f t="shared" si="16"/>
        <v>67.16666666666498</v>
      </c>
      <c r="I96" s="872">
        <f t="shared" si="16"/>
        <v>71.299999999998249</v>
      </c>
      <c r="J96" s="872">
        <f t="shared" si="16"/>
        <v>73.88333333333253</v>
      </c>
      <c r="K96" s="872">
        <f t="shared" si="16"/>
        <v>62.000000000001144</v>
      </c>
      <c r="L96" s="872">
        <f t="shared" si="16"/>
        <v>66.133333333334008</v>
      </c>
      <c r="M96" s="872">
        <f t="shared" si="16"/>
        <v>68.716666666667876</v>
      </c>
      <c r="N96" s="872">
        <f t="shared" si="16"/>
        <v>46.5</v>
      </c>
      <c r="O96" s="872">
        <f t="shared" si="16"/>
        <v>50.633333333331656</v>
      </c>
      <c r="P96" s="872">
        <f t="shared" si="16"/>
        <v>53.216666666666498</v>
      </c>
      <c r="Q96" s="872">
        <f t="shared" si="16"/>
        <v>43.916666666665286</v>
      </c>
      <c r="R96" s="872">
        <f t="shared" si="16"/>
        <v>48.049999999998661</v>
      </c>
      <c r="S96" s="872">
        <f t="shared" si="16"/>
        <v>50.633333333331656</v>
      </c>
      <c r="T96" s="872">
        <f t="shared" si="16"/>
        <v>41.333333333332746</v>
      </c>
      <c r="U96" s="872">
        <f t="shared" si="17"/>
        <v>45.466666666666896</v>
      </c>
      <c r="V96" s="872">
        <f t="shared" si="17"/>
        <v>48.049999999998661</v>
      </c>
      <c r="W96" s="872">
        <f t="shared" si="13"/>
        <v>38.749999999999908</v>
      </c>
      <c r="X96" s="872">
        <f t="shared" si="13"/>
        <v>42.883333333334008</v>
      </c>
      <c r="Y96" s="872">
        <f t="shared" si="13"/>
        <v>45.466666666666896</v>
      </c>
      <c r="Z96" s="872">
        <f t="shared" si="13"/>
        <v>36.16666666666751</v>
      </c>
      <c r="AA96" s="872">
        <f t="shared" si="13"/>
        <v>40.299999999999379</v>
      </c>
      <c r="AB96" s="872">
        <f t="shared" si="13"/>
        <v>42.883333333334008</v>
      </c>
      <c r="AC96" s="872">
        <f t="shared" si="13"/>
        <v>33.58333333333249</v>
      </c>
      <c r="AD96" s="872">
        <f t="shared" si="13"/>
        <v>37.716666666666676</v>
      </c>
      <c r="AE96" s="872">
        <f t="shared" si="13"/>
        <v>40.299999999999379</v>
      </c>
      <c r="AF96" s="872">
        <f t="shared" si="13"/>
        <v>31.000000000000572</v>
      </c>
      <c r="AG96" s="872">
        <f t="shared" si="13"/>
        <v>35.133333333333042</v>
      </c>
      <c r="AH96" s="872">
        <f t="shared" si="7"/>
        <v>37.716666666666676</v>
      </c>
      <c r="AI96" s="872">
        <f t="shared" si="7"/>
        <v>28.416666666666245</v>
      </c>
      <c r="AJ96" s="872">
        <f t="shared" si="7"/>
        <v>32.550000000000878</v>
      </c>
      <c r="AK96" s="872">
        <f t="shared" si="7"/>
        <v>35.133333333333042</v>
      </c>
    </row>
    <row r="97" spans="1:37" ht="13.5" thickBot="1">
      <c r="A97" s="868"/>
      <c r="B97" s="868"/>
      <c r="C97" s="868"/>
      <c r="D97" s="873">
        <f t="shared" si="12"/>
        <v>0.26111111111111068</v>
      </c>
      <c r="E97" s="872">
        <f t="shared" si="16"/>
        <v>73.111111111112791</v>
      </c>
      <c r="F97" s="872">
        <f t="shared" si="16"/>
        <v>77.288888888890085</v>
      </c>
      <c r="G97" s="872">
        <f t="shared" si="16"/>
        <v>79.899999999999864</v>
      </c>
      <c r="H97" s="872">
        <f t="shared" si="16"/>
        <v>67.888888888887209</v>
      </c>
      <c r="I97" s="872">
        <f t="shared" si="16"/>
        <v>72.066666666664915</v>
      </c>
      <c r="J97" s="872">
        <f t="shared" si="16"/>
        <v>74.677777777776981</v>
      </c>
      <c r="K97" s="872">
        <f t="shared" si="16"/>
        <v>62.666666666667808</v>
      </c>
      <c r="L97" s="872">
        <f t="shared" si="16"/>
        <v>66.844444444445116</v>
      </c>
      <c r="M97" s="872">
        <f t="shared" si="16"/>
        <v>69.455555555556771</v>
      </c>
      <c r="N97" s="872">
        <f t="shared" si="16"/>
        <v>47</v>
      </c>
      <c r="O97" s="872">
        <f t="shared" si="16"/>
        <v>51.1777777777761</v>
      </c>
      <c r="P97" s="872">
        <f t="shared" si="16"/>
        <v>53.788888888888721</v>
      </c>
      <c r="Q97" s="872">
        <f t="shared" si="16"/>
        <v>44.388888888887507</v>
      </c>
      <c r="R97" s="872">
        <f t="shared" si="16"/>
        <v>48.566666666665327</v>
      </c>
      <c r="S97" s="872">
        <f t="shared" si="16"/>
        <v>51.1777777777761</v>
      </c>
      <c r="T97" s="872">
        <f t="shared" si="16"/>
        <v>41.777777777777189</v>
      </c>
      <c r="U97" s="872">
        <f t="shared" si="17"/>
        <v>45.955555555555783</v>
      </c>
      <c r="V97" s="872">
        <f t="shared" si="17"/>
        <v>48.566666666665327</v>
      </c>
      <c r="W97" s="872">
        <f t="shared" si="13"/>
        <v>39.166666666666572</v>
      </c>
      <c r="X97" s="872">
        <f t="shared" si="13"/>
        <v>43.344444444445116</v>
      </c>
      <c r="Y97" s="872">
        <f t="shared" si="13"/>
        <v>45.955555555555783</v>
      </c>
      <c r="Z97" s="872">
        <f t="shared" si="13"/>
        <v>36.555555555556396</v>
      </c>
      <c r="AA97" s="872">
        <f t="shared" si="13"/>
        <v>40.733333333332709</v>
      </c>
      <c r="AB97" s="872">
        <f t="shared" si="13"/>
        <v>43.344444444445116</v>
      </c>
      <c r="AC97" s="872">
        <f t="shared" si="13"/>
        <v>33.944444444443604</v>
      </c>
      <c r="AD97" s="872">
        <f t="shared" si="13"/>
        <v>38.122222222222234</v>
      </c>
      <c r="AE97" s="872">
        <f t="shared" si="13"/>
        <v>40.733333333332709</v>
      </c>
      <c r="AF97" s="872">
        <f t="shared" si="13"/>
        <v>31.333333333333904</v>
      </c>
      <c r="AG97" s="872">
        <f t="shared" si="13"/>
        <v>35.511111111110822</v>
      </c>
      <c r="AH97" s="872">
        <f t="shared" si="7"/>
        <v>38.122222222222234</v>
      </c>
      <c r="AI97" s="872">
        <f t="shared" si="7"/>
        <v>28.722222222221802</v>
      </c>
      <c r="AJ97" s="872">
        <f t="shared" si="7"/>
        <v>32.90000000000088</v>
      </c>
      <c r="AK97" s="872">
        <f t="shared" si="7"/>
        <v>35.511111111110822</v>
      </c>
    </row>
    <row r="98" spans="1:37" ht="13.5" thickBot="1">
      <c r="A98" s="868"/>
      <c r="B98" s="868"/>
      <c r="C98" s="868"/>
      <c r="D98" s="873">
        <f t="shared" si="12"/>
        <v>0.26388888888888845</v>
      </c>
      <c r="E98" s="872">
        <f t="shared" si="16"/>
        <v>73.888888888890563</v>
      </c>
      <c r="F98" s="872">
        <f t="shared" si="16"/>
        <v>78.111111111112308</v>
      </c>
      <c r="G98" s="872">
        <f t="shared" si="16"/>
        <v>80.749999999999858</v>
      </c>
      <c r="H98" s="872">
        <f t="shared" si="16"/>
        <v>68.611111111109437</v>
      </c>
      <c r="I98" s="872">
        <f t="shared" si="16"/>
        <v>72.833333333331581</v>
      </c>
      <c r="J98" s="872">
        <f t="shared" si="16"/>
        <v>75.472222222221433</v>
      </c>
      <c r="K98" s="872">
        <f t="shared" si="16"/>
        <v>63.333333333334473</v>
      </c>
      <c r="L98" s="872">
        <f t="shared" si="16"/>
        <v>67.555555555556225</v>
      </c>
      <c r="M98" s="872">
        <f t="shared" si="16"/>
        <v>70.194444444445665</v>
      </c>
      <c r="N98" s="872">
        <f t="shared" si="16"/>
        <v>47.5</v>
      </c>
      <c r="O98" s="872">
        <f t="shared" si="16"/>
        <v>51.722222222220545</v>
      </c>
      <c r="P98" s="872">
        <f t="shared" si="16"/>
        <v>54.361111111110944</v>
      </c>
      <c r="Q98" s="872">
        <f t="shared" si="16"/>
        <v>44.861111111109729</v>
      </c>
      <c r="R98" s="872">
        <f t="shared" si="16"/>
        <v>49.083333333331993</v>
      </c>
      <c r="S98" s="872">
        <f t="shared" si="16"/>
        <v>51.722222222220545</v>
      </c>
      <c r="T98" s="872">
        <f t="shared" si="16"/>
        <v>42.222222222221632</v>
      </c>
      <c r="U98" s="872">
        <f t="shared" si="17"/>
        <v>46.44444444444467</v>
      </c>
      <c r="V98" s="872">
        <f t="shared" si="17"/>
        <v>49.083333333331993</v>
      </c>
      <c r="W98" s="872">
        <f t="shared" si="13"/>
        <v>39.583333333333236</v>
      </c>
      <c r="X98" s="872">
        <f t="shared" si="13"/>
        <v>43.805555555556225</v>
      </c>
      <c r="Y98" s="872">
        <f t="shared" si="13"/>
        <v>46.44444444444467</v>
      </c>
      <c r="Z98" s="872">
        <f t="shared" si="13"/>
        <v>36.944444444445281</v>
      </c>
      <c r="AA98" s="872">
        <f t="shared" si="13"/>
        <v>41.166666666666039</v>
      </c>
      <c r="AB98" s="872">
        <f t="shared" si="13"/>
        <v>43.805555555556225</v>
      </c>
      <c r="AC98" s="872">
        <f t="shared" si="13"/>
        <v>34.305555555554719</v>
      </c>
      <c r="AD98" s="872">
        <f t="shared" si="13"/>
        <v>38.527777777777793</v>
      </c>
      <c r="AE98" s="872">
        <f t="shared" si="13"/>
        <v>41.166666666666039</v>
      </c>
      <c r="AF98" s="872">
        <f t="shared" si="13"/>
        <v>31.666666666667236</v>
      </c>
      <c r="AG98" s="872">
        <f t="shared" si="13"/>
        <v>35.888888888888602</v>
      </c>
      <c r="AH98" s="872">
        <f t="shared" si="7"/>
        <v>38.527777777777793</v>
      </c>
      <c r="AI98" s="872">
        <f t="shared" si="7"/>
        <v>29.027777777777359</v>
      </c>
      <c r="AJ98" s="872">
        <f t="shared" si="7"/>
        <v>33.250000000000881</v>
      </c>
      <c r="AK98" s="872">
        <f t="shared" si="7"/>
        <v>35.888888888888602</v>
      </c>
    </row>
    <row r="99" spans="1:37" ht="13.5" thickBot="1">
      <c r="A99" s="868"/>
      <c r="B99" s="868"/>
      <c r="C99" s="868"/>
      <c r="D99" s="873">
        <f t="shared" si="12"/>
        <v>0.26666666666666622</v>
      </c>
      <c r="E99" s="872">
        <f t="shared" si="16"/>
        <v>74.666666666668334</v>
      </c>
      <c r="F99" s="872">
        <f t="shared" si="16"/>
        <v>78.933333333334531</v>
      </c>
      <c r="G99" s="872">
        <f t="shared" si="16"/>
        <v>81.599999999999852</v>
      </c>
      <c r="H99" s="872">
        <f t="shared" si="16"/>
        <v>69.333333333331666</v>
      </c>
      <c r="I99" s="872">
        <f t="shared" si="16"/>
        <v>73.599999999998246</v>
      </c>
      <c r="J99" s="872">
        <f t="shared" si="16"/>
        <v>76.266666666665884</v>
      </c>
      <c r="K99" s="872">
        <f t="shared" si="16"/>
        <v>64.000000000001137</v>
      </c>
      <c r="L99" s="872">
        <f t="shared" si="16"/>
        <v>68.266666666667334</v>
      </c>
      <c r="M99" s="872">
        <f t="shared" si="16"/>
        <v>70.933333333334559</v>
      </c>
      <c r="N99" s="872">
        <f t="shared" si="16"/>
        <v>48</v>
      </c>
      <c r="O99" s="872">
        <f t="shared" si="16"/>
        <v>52.266666666664989</v>
      </c>
      <c r="P99" s="872">
        <f t="shared" si="16"/>
        <v>54.933333333333167</v>
      </c>
      <c r="Q99" s="872">
        <f t="shared" si="16"/>
        <v>45.33333333333195</v>
      </c>
      <c r="R99" s="872">
        <f t="shared" si="16"/>
        <v>49.599999999998658</v>
      </c>
      <c r="S99" s="872">
        <f t="shared" si="16"/>
        <v>52.266666666664989</v>
      </c>
      <c r="T99" s="872">
        <f t="shared" si="16"/>
        <v>42.666666666666075</v>
      </c>
      <c r="U99" s="872">
        <f t="shared" si="17"/>
        <v>46.933333333333557</v>
      </c>
      <c r="V99" s="872">
        <f t="shared" si="17"/>
        <v>49.599999999998658</v>
      </c>
      <c r="W99" s="872">
        <f t="shared" si="13"/>
        <v>39.999999999999901</v>
      </c>
      <c r="X99" s="872">
        <f t="shared" si="13"/>
        <v>44.266666666667334</v>
      </c>
      <c r="Y99" s="872">
        <f t="shared" si="13"/>
        <v>46.933333333333557</v>
      </c>
      <c r="Z99" s="872">
        <f t="shared" si="13"/>
        <v>37.333333333334167</v>
      </c>
      <c r="AA99" s="872">
        <f t="shared" si="13"/>
        <v>41.599999999999369</v>
      </c>
      <c r="AB99" s="872">
        <f t="shared" si="13"/>
        <v>44.266666666667334</v>
      </c>
      <c r="AC99" s="872">
        <f t="shared" si="13"/>
        <v>34.666666666665833</v>
      </c>
      <c r="AD99" s="872">
        <f t="shared" si="13"/>
        <v>38.933333333333351</v>
      </c>
      <c r="AE99" s="872">
        <f t="shared" ref="AE99:AK138" si="18">AE100-(AE$363/360)</f>
        <v>41.599999999999369</v>
      </c>
      <c r="AF99" s="872">
        <f t="shared" si="18"/>
        <v>32.000000000000568</v>
      </c>
      <c r="AG99" s="872">
        <f t="shared" si="18"/>
        <v>36.266666666666382</v>
      </c>
      <c r="AH99" s="872">
        <f t="shared" si="7"/>
        <v>38.933333333333351</v>
      </c>
      <c r="AI99" s="872">
        <f t="shared" si="7"/>
        <v>29.333333333332916</v>
      </c>
      <c r="AJ99" s="872">
        <f t="shared" si="7"/>
        <v>33.600000000000882</v>
      </c>
      <c r="AK99" s="872">
        <f t="shared" si="7"/>
        <v>36.266666666666382</v>
      </c>
    </row>
    <row r="100" spans="1:37" ht="13.5" thickBot="1">
      <c r="A100" s="868"/>
      <c r="B100" s="868"/>
      <c r="C100" s="868"/>
      <c r="D100" s="873">
        <f t="shared" si="12"/>
        <v>0.26944444444444399</v>
      </c>
      <c r="E100" s="872">
        <f t="shared" si="16"/>
        <v>75.444444444446106</v>
      </c>
      <c r="F100" s="872">
        <f t="shared" si="16"/>
        <v>79.755555555556754</v>
      </c>
      <c r="G100" s="872">
        <f t="shared" si="16"/>
        <v>82.449999999999847</v>
      </c>
      <c r="H100" s="872">
        <f t="shared" si="16"/>
        <v>70.055555555553894</v>
      </c>
      <c r="I100" s="872">
        <f t="shared" si="16"/>
        <v>74.366666666664912</v>
      </c>
      <c r="J100" s="872">
        <f t="shared" si="16"/>
        <v>77.061111111110336</v>
      </c>
      <c r="K100" s="872">
        <f t="shared" si="16"/>
        <v>64.666666666667808</v>
      </c>
      <c r="L100" s="872">
        <f t="shared" si="16"/>
        <v>68.977777777778442</v>
      </c>
      <c r="M100" s="872">
        <f t="shared" si="16"/>
        <v>71.672222222223454</v>
      </c>
      <c r="N100" s="872">
        <f t="shared" si="16"/>
        <v>48.5</v>
      </c>
      <c r="O100" s="872">
        <f t="shared" si="16"/>
        <v>52.811111111109433</v>
      </c>
      <c r="P100" s="872">
        <f t="shared" si="16"/>
        <v>55.505555555555389</v>
      </c>
      <c r="Q100" s="872">
        <f t="shared" si="16"/>
        <v>45.805555555554172</v>
      </c>
      <c r="R100" s="872">
        <f t="shared" si="16"/>
        <v>50.116666666665324</v>
      </c>
      <c r="S100" s="872">
        <f t="shared" si="16"/>
        <v>52.811111111109433</v>
      </c>
      <c r="T100" s="872">
        <f>T101-(T$363/360)</f>
        <v>43.111111111110517</v>
      </c>
      <c r="U100" s="872">
        <f t="shared" si="17"/>
        <v>47.422222222222445</v>
      </c>
      <c r="V100" s="872">
        <f t="shared" si="17"/>
        <v>50.116666666665324</v>
      </c>
      <c r="W100" s="872">
        <f t="shared" si="17"/>
        <v>40.416666666666565</v>
      </c>
      <c r="X100" s="872">
        <f t="shared" si="17"/>
        <v>44.727777777778442</v>
      </c>
      <c r="Y100" s="872">
        <f t="shared" si="17"/>
        <v>47.422222222222445</v>
      </c>
      <c r="Z100" s="872">
        <f t="shared" si="17"/>
        <v>37.722222222223053</v>
      </c>
      <c r="AA100" s="872">
        <f t="shared" si="17"/>
        <v>42.033333333332699</v>
      </c>
      <c r="AB100" s="872">
        <f t="shared" si="17"/>
        <v>44.727777777778442</v>
      </c>
      <c r="AC100" s="872">
        <f t="shared" si="17"/>
        <v>35.027777777776947</v>
      </c>
      <c r="AD100" s="872">
        <f t="shared" si="17"/>
        <v>39.33888888888891</v>
      </c>
      <c r="AE100" s="872">
        <f t="shared" si="18"/>
        <v>42.033333333332699</v>
      </c>
      <c r="AF100" s="872">
        <f t="shared" si="18"/>
        <v>32.333333333333904</v>
      </c>
      <c r="AG100" s="872">
        <f t="shared" si="18"/>
        <v>36.644444444444161</v>
      </c>
      <c r="AH100" s="872">
        <f t="shared" si="7"/>
        <v>39.33888888888891</v>
      </c>
      <c r="AI100" s="872">
        <f t="shared" si="7"/>
        <v>29.638888888888474</v>
      </c>
      <c r="AJ100" s="872">
        <f t="shared" si="7"/>
        <v>33.950000000000884</v>
      </c>
      <c r="AK100" s="872">
        <f t="shared" si="7"/>
        <v>36.644444444444161</v>
      </c>
    </row>
    <row r="101" spans="1:37" ht="13.5" thickBot="1">
      <c r="A101" s="868"/>
      <c r="B101" s="868"/>
      <c r="C101" s="868"/>
      <c r="D101" s="873">
        <f t="shared" si="12"/>
        <v>0.27222222222222175</v>
      </c>
      <c r="E101" s="872">
        <f t="shared" ref="E101:T116" si="19">E102-(E$363/360)</f>
        <v>76.222222222223877</v>
      </c>
      <c r="F101" s="872">
        <f t="shared" si="19"/>
        <v>80.577777777778977</v>
      </c>
      <c r="G101" s="872">
        <f t="shared" si="19"/>
        <v>83.299999999999841</v>
      </c>
      <c r="H101" s="872">
        <f t="shared" si="19"/>
        <v>70.777777777776123</v>
      </c>
      <c r="I101" s="872">
        <f t="shared" si="19"/>
        <v>75.133333333331578</v>
      </c>
      <c r="J101" s="872">
        <f t="shared" si="19"/>
        <v>77.855555555554787</v>
      </c>
      <c r="K101" s="872">
        <f t="shared" si="19"/>
        <v>65.33333333333448</v>
      </c>
      <c r="L101" s="872">
        <f t="shared" si="19"/>
        <v>69.688888888889551</v>
      </c>
      <c r="M101" s="872">
        <f t="shared" si="19"/>
        <v>72.411111111112348</v>
      </c>
      <c r="N101" s="872">
        <f t="shared" si="19"/>
        <v>49</v>
      </c>
      <c r="O101" s="872">
        <f t="shared" si="19"/>
        <v>53.355555555553877</v>
      </c>
      <c r="P101" s="872">
        <f t="shared" si="19"/>
        <v>56.077777777777612</v>
      </c>
      <c r="Q101" s="872">
        <f t="shared" si="19"/>
        <v>46.277777777776393</v>
      </c>
      <c r="R101" s="872">
        <f t="shared" si="19"/>
        <v>50.63333333333199</v>
      </c>
      <c r="S101" s="872">
        <f t="shared" si="19"/>
        <v>53.355555555553877</v>
      </c>
      <c r="T101" s="872">
        <f t="shared" si="19"/>
        <v>43.55555555555496</v>
      </c>
      <c r="U101" s="872">
        <f t="shared" si="17"/>
        <v>47.911111111111332</v>
      </c>
      <c r="V101" s="872">
        <f t="shared" si="17"/>
        <v>50.63333333333199</v>
      </c>
      <c r="W101" s="872">
        <f t="shared" si="17"/>
        <v>40.833333333333229</v>
      </c>
      <c r="X101" s="872">
        <f t="shared" si="17"/>
        <v>45.188888888889551</v>
      </c>
      <c r="Y101" s="872">
        <f t="shared" si="17"/>
        <v>47.911111111111332</v>
      </c>
      <c r="Z101" s="872">
        <f t="shared" si="17"/>
        <v>38.111111111111938</v>
      </c>
      <c r="AA101" s="872">
        <f t="shared" si="17"/>
        <v>42.466666666666029</v>
      </c>
      <c r="AB101" s="872">
        <f t="shared" si="17"/>
        <v>45.188888888889551</v>
      </c>
      <c r="AC101" s="872">
        <f t="shared" si="17"/>
        <v>35.388888888888062</v>
      </c>
      <c r="AD101" s="872">
        <f t="shared" si="17"/>
        <v>39.744444444444468</v>
      </c>
      <c r="AE101" s="872">
        <f t="shared" si="18"/>
        <v>42.466666666666029</v>
      </c>
      <c r="AF101" s="872">
        <f t="shared" si="18"/>
        <v>32.66666666666724</v>
      </c>
      <c r="AG101" s="872">
        <f t="shared" si="18"/>
        <v>37.022222222221941</v>
      </c>
      <c r="AH101" s="872">
        <f t="shared" si="7"/>
        <v>39.744444444444468</v>
      </c>
      <c r="AI101" s="872">
        <f t="shared" si="7"/>
        <v>29.944444444444031</v>
      </c>
      <c r="AJ101" s="872">
        <f t="shared" si="7"/>
        <v>34.300000000000885</v>
      </c>
      <c r="AK101" s="872">
        <f t="shared" si="7"/>
        <v>37.022222222221941</v>
      </c>
    </row>
    <row r="102" spans="1:37" ht="13.5" thickBot="1">
      <c r="A102" s="868"/>
      <c r="B102" s="868"/>
      <c r="C102" s="868"/>
      <c r="D102" s="873">
        <f t="shared" si="12"/>
        <v>0.27499999999999952</v>
      </c>
      <c r="E102" s="872">
        <f t="shared" si="19"/>
        <v>77.000000000001648</v>
      </c>
      <c r="F102" s="872">
        <f t="shared" si="19"/>
        <v>81.400000000001199</v>
      </c>
      <c r="G102" s="872">
        <f t="shared" si="19"/>
        <v>84.149999999999835</v>
      </c>
      <c r="H102" s="872">
        <f t="shared" si="19"/>
        <v>71.499999999998352</v>
      </c>
      <c r="I102" s="872">
        <f t="shared" si="19"/>
        <v>75.899999999998244</v>
      </c>
      <c r="J102" s="872">
        <f t="shared" si="19"/>
        <v>78.649999999999238</v>
      </c>
      <c r="K102" s="872">
        <f t="shared" si="19"/>
        <v>66.000000000001151</v>
      </c>
      <c r="L102" s="872">
        <f t="shared" si="19"/>
        <v>70.400000000000659</v>
      </c>
      <c r="M102" s="872">
        <f t="shared" si="19"/>
        <v>73.150000000001242</v>
      </c>
      <c r="N102" s="872">
        <f t="shared" si="19"/>
        <v>49.5</v>
      </c>
      <c r="O102" s="872">
        <f t="shared" si="19"/>
        <v>53.899999999998322</v>
      </c>
      <c r="P102" s="872">
        <f t="shared" si="19"/>
        <v>56.649999999999835</v>
      </c>
      <c r="Q102" s="872">
        <f t="shared" si="19"/>
        <v>46.749999999998614</v>
      </c>
      <c r="R102" s="872">
        <f t="shared" si="19"/>
        <v>51.149999999998656</v>
      </c>
      <c r="S102" s="872">
        <f t="shared" si="19"/>
        <v>53.899999999998322</v>
      </c>
      <c r="T102" s="872">
        <f t="shared" si="19"/>
        <v>43.999999999999403</v>
      </c>
      <c r="U102" s="872">
        <f t="shared" si="17"/>
        <v>48.400000000000219</v>
      </c>
      <c r="V102" s="872">
        <f t="shared" si="17"/>
        <v>51.149999999998656</v>
      </c>
      <c r="W102" s="872">
        <f t="shared" si="17"/>
        <v>41.249999999999893</v>
      </c>
      <c r="X102" s="872">
        <f t="shared" si="17"/>
        <v>45.650000000000659</v>
      </c>
      <c r="Y102" s="872">
        <f t="shared" si="17"/>
        <v>48.400000000000219</v>
      </c>
      <c r="Z102" s="872">
        <f t="shared" si="17"/>
        <v>38.500000000000824</v>
      </c>
      <c r="AA102" s="872">
        <f t="shared" si="17"/>
        <v>42.899999999999359</v>
      </c>
      <c r="AB102" s="872">
        <f t="shared" si="17"/>
        <v>45.650000000000659</v>
      </c>
      <c r="AC102" s="872">
        <f t="shared" si="17"/>
        <v>35.749999999999176</v>
      </c>
      <c r="AD102" s="872">
        <f t="shared" si="17"/>
        <v>40.150000000000027</v>
      </c>
      <c r="AE102" s="872">
        <f t="shared" si="18"/>
        <v>42.899999999999359</v>
      </c>
      <c r="AF102" s="872">
        <f t="shared" si="18"/>
        <v>33.000000000000576</v>
      </c>
      <c r="AG102" s="872">
        <f t="shared" si="18"/>
        <v>37.399999999999721</v>
      </c>
      <c r="AH102" s="872">
        <f t="shared" si="7"/>
        <v>40.150000000000027</v>
      </c>
      <c r="AI102" s="872">
        <f t="shared" si="7"/>
        <v>30.249999999999588</v>
      </c>
      <c r="AJ102" s="872">
        <f t="shared" si="7"/>
        <v>34.650000000000887</v>
      </c>
      <c r="AK102" s="872">
        <f t="shared" si="7"/>
        <v>37.399999999999721</v>
      </c>
    </row>
    <row r="103" spans="1:37" ht="13.5" thickBot="1">
      <c r="A103" s="868"/>
      <c r="B103" s="868"/>
      <c r="C103" s="868"/>
      <c r="D103" s="873">
        <f t="shared" si="12"/>
        <v>0.27777777777777729</v>
      </c>
      <c r="E103" s="872">
        <f t="shared" si="19"/>
        <v>77.77777777777942</v>
      </c>
      <c r="F103" s="872">
        <f t="shared" si="19"/>
        <v>82.222222222223422</v>
      </c>
      <c r="G103" s="872">
        <f t="shared" si="19"/>
        <v>84.999999999999829</v>
      </c>
      <c r="H103" s="872">
        <f t="shared" si="19"/>
        <v>72.22222222222058</v>
      </c>
      <c r="I103" s="872">
        <f t="shared" si="19"/>
        <v>76.666666666664909</v>
      </c>
      <c r="J103" s="872">
        <f t="shared" si="19"/>
        <v>79.44444444444369</v>
      </c>
      <c r="K103" s="872">
        <f t="shared" si="19"/>
        <v>66.666666666667822</v>
      </c>
      <c r="L103" s="872">
        <f t="shared" si="19"/>
        <v>71.111111111111768</v>
      </c>
      <c r="M103" s="872">
        <f t="shared" si="19"/>
        <v>73.888888888890136</v>
      </c>
      <c r="N103" s="872">
        <f t="shared" si="19"/>
        <v>50</v>
      </c>
      <c r="O103" s="872">
        <f t="shared" si="19"/>
        <v>54.444444444442766</v>
      </c>
      <c r="P103" s="872">
        <f t="shared" si="19"/>
        <v>57.222222222222058</v>
      </c>
      <c r="Q103" s="872">
        <f t="shared" si="19"/>
        <v>47.222222222220836</v>
      </c>
      <c r="R103" s="872">
        <f t="shared" si="19"/>
        <v>51.666666666665321</v>
      </c>
      <c r="S103" s="872">
        <f t="shared" si="19"/>
        <v>54.444444444442766</v>
      </c>
      <c r="T103" s="872">
        <f t="shared" si="19"/>
        <v>44.444444444443846</v>
      </c>
      <c r="U103" s="872">
        <f t="shared" si="17"/>
        <v>48.888888888889106</v>
      </c>
      <c r="V103" s="872">
        <f t="shared" si="17"/>
        <v>51.666666666665321</v>
      </c>
      <c r="W103" s="872">
        <f t="shared" si="17"/>
        <v>41.666666666666558</v>
      </c>
      <c r="X103" s="872">
        <f t="shared" si="17"/>
        <v>46.111111111111768</v>
      </c>
      <c r="Y103" s="872">
        <f t="shared" si="17"/>
        <v>48.888888888889106</v>
      </c>
      <c r="Z103" s="872">
        <f t="shared" si="17"/>
        <v>38.88888888888971</v>
      </c>
      <c r="AA103" s="872">
        <f t="shared" si="17"/>
        <v>43.333333333332689</v>
      </c>
      <c r="AB103" s="872">
        <f t="shared" si="17"/>
        <v>46.111111111111768</v>
      </c>
      <c r="AC103" s="872">
        <f t="shared" si="17"/>
        <v>36.11111111111029</v>
      </c>
      <c r="AD103" s="872">
        <f t="shared" si="17"/>
        <v>40.555555555555586</v>
      </c>
      <c r="AE103" s="872">
        <f t="shared" si="18"/>
        <v>43.333333333332689</v>
      </c>
      <c r="AF103" s="872">
        <f t="shared" si="18"/>
        <v>33.333333333333911</v>
      </c>
      <c r="AG103" s="872">
        <f t="shared" si="18"/>
        <v>37.777777777777501</v>
      </c>
      <c r="AH103" s="872">
        <f t="shared" si="7"/>
        <v>40.555555555555586</v>
      </c>
      <c r="AI103" s="872">
        <f t="shared" si="7"/>
        <v>30.555555555555145</v>
      </c>
      <c r="AJ103" s="872">
        <f t="shared" si="7"/>
        <v>35.000000000000888</v>
      </c>
      <c r="AK103" s="872">
        <f t="shared" si="7"/>
        <v>37.777777777777501</v>
      </c>
    </row>
    <row r="104" spans="1:37" ht="13.5" thickBot="1">
      <c r="A104" s="868"/>
      <c r="B104" s="868"/>
      <c r="C104" s="868"/>
      <c r="D104" s="873">
        <f t="shared" si="12"/>
        <v>0.28055555555555506</v>
      </c>
      <c r="E104" s="872">
        <f t="shared" si="19"/>
        <v>78.555555555557191</v>
      </c>
      <c r="F104" s="872">
        <f t="shared" si="19"/>
        <v>83.044444444445645</v>
      </c>
      <c r="G104" s="872">
        <f t="shared" si="19"/>
        <v>85.849999999999824</v>
      </c>
      <c r="H104" s="872">
        <f t="shared" si="19"/>
        <v>72.944444444442809</v>
      </c>
      <c r="I104" s="872">
        <f t="shared" si="19"/>
        <v>77.433333333331575</v>
      </c>
      <c r="J104" s="872">
        <f t="shared" si="19"/>
        <v>80.238888888888141</v>
      </c>
      <c r="K104" s="872">
        <f t="shared" si="19"/>
        <v>67.333333333334494</v>
      </c>
      <c r="L104" s="872">
        <f t="shared" si="19"/>
        <v>71.822222222222877</v>
      </c>
      <c r="M104" s="872">
        <f t="shared" si="19"/>
        <v>74.627777777779031</v>
      </c>
      <c r="N104" s="872">
        <f t="shared" si="19"/>
        <v>50.5</v>
      </c>
      <c r="O104" s="872">
        <f t="shared" si="19"/>
        <v>54.98888888888721</v>
      </c>
      <c r="P104" s="872">
        <f t="shared" si="19"/>
        <v>57.794444444444281</v>
      </c>
      <c r="Q104" s="872">
        <f t="shared" si="19"/>
        <v>47.694444444443057</v>
      </c>
      <c r="R104" s="872">
        <f t="shared" si="19"/>
        <v>52.183333333331987</v>
      </c>
      <c r="S104" s="872">
        <f t="shared" si="19"/>
        <v>54.98888888888721</v>
      </c>
      <c r="T104" s="872">
        <f t="shared" si="19"/>
        <v>44.888888888888289</v>
      </c>
      <c r="U104" s="872">
        <f t="shared" si="17"/>
        <v>49.377777777777993</v>
      </c>
      <c r="V104" s="872">
        <f t="shared" si="17"/>
        <v>52.183333333331987</v>
      </c>
      <c r="W104" s="872">
        <f t="shared" si="17"/>
        <v>42.083333333333222</v>
      </c>
      <c r="X104" s="872">
        <f t="shared" si="17"/>
        <v>46.572222222222877</v>
      </c>
      <c r="Y104" s="872">
        <f t="shared" si="17"/>
        <v>49.377777777777993</v>
      </c>
      <c r="Z104" s="872">
        <f t="shared" si="17"/>
        <v>39.277777777778596</v>
      </c>
      <c r="AA104" s="872">
        <f t="shared" si="17"/>
        <v>43.766666666666019</v>
      </c>
      <c r="AB104" s="872">
        <f t="shared" si="17"/>
        <v>46.572222222222877</v>
      </c>
      <c r="AC104" s="872">
        <f t="shared" si="17"/>
        <v>36.472222222221404</v>
      </c>
      <c r="AD104" s="872">
        <f t="shared" si="17"/>
        <v>40.961111111111144</v>
      </c>
      <c r="AE104" s="872">
        <f t="shared" si="18"/>
        <v>43.766666666666019</v>
      </c>
      <c r="AF104" s="872">
        <f t="shared" si="18"/>
        <v>33.666666666667247</v>
      </c>
      <c r="AG104" s="872">
        <f t="shared" si="18"/>
        <v>38.155555555555281</v>
      </c>
      <c r="AH104" s="872">
        <f t="shared" si="18"/>
        <v>40.961111111111144</v>
      </c>
      <c r="AI104" s="872">
        <f t="shared" si="18"/>
        <v>30.861111111110702</v>
      </c>
      <c r="AJ104" s="872">
        <f t="shared" si="18"/>
        <v>35.35000000000089</v>
      </c>
      <c r="AK104" s="872">
        <f t="shared" si="18"/>
        <v>38.155555555555281</v>
      </c>
    </row>
    <row r="105" spans="1:37" ht="13.5" thickBot="1">
      <c r="A105" s="868"/>
      <c r="B105" s="868"/>
      <c r="C105" s="868"/>
      <c r="D105" s="873">
        <f t="shared" si="12"/>
        <v>0.28333333333333283</v>
      </c>
      <c r="E105" s="872">
        <f t="shared" si="19"/>
        <v>79.333333333334963</v>
      </c>
      <c r="F105" s="872">
        <f t="shared" si="19"/>
        <v>83.866666666667868</v>
      </c>
      <c r="G105" s="872">
        <f t="shared" si="19"/>
        <v>86.699999999999818</v>
      </c>
      <c r="H105" s="872">
        <f t="shared" si="19"/>
        <v>73.666666666665037</v>
      </c>
      <c r="I105" s="872">
        <f t="shared" si="19"/>
        <v>78.199999999998241</v>
      </c>
      <c r="J105" s="872">
        <f t="shared" si="19"/>
        <v>81.033333333332592</v>
      </c>
      <c r="K105" s="872">
        <f t="shared" si="19"/>
        <v>68.000000000001165</v>
      </c>
      <c r="L105" s="872">
        <f t="shared" si="19"/>
        <v>72.533333333333985</v>
      </c>
      <c r="M105" s="872">
        <f t="shared" si="19"/>
        <v>75.366666666667925</v>
      </c>
      <c r="N105" s="872">
        <f t="shared" si="19"/>
        <v>51</v>
      </c>
      <c r="O105" s="872">
        <f t="shared" si="19"/>
        <v>55.533333333331655</v>
      </c>
      <c r="P105" s="872">
        <f t="shared" si="19"/>
        <v>58.366666666666504</v>
      </c>
      <c r="Q105" s="872">
        <f t="shared" si="19"/>
        <v>48.166666666665279</v>
      </c>
      <c r="R105" s="872">
        <f t="shared" si="19"/>
        <v>52.699999999998653</v>
      </c>
      <c r="S105" s="872">
        <f t="shared" si="19"/>
        <v>55.533333333331655</v>
      </c>
      <c r="T105" s="872">
        <f t="shared" si="19"/>
        <v>45.333333333332732</v>
      </c>
      <c r="U105" s="872">
        <f t="shared" si="17"/>
        <v>49.86666666666688</v>
      </c>
      <c r="V105" s="872">
        <f t="shared" si="17"/>
        <v>52.699999999998653</v>
      </c>
      <c r="W105" s="872">
        <f t="shared" si="17"/>
        <v>42.499999999999886</v>
      </c>
      <c r="X105" s="872">
        <f t="shared" si="17"/>
        <v>47.033333333333985</v>
      </c>
      <c r="Y105" s="872">
        <f t="shared" si="17"/>
        <v>49.86666666666688</v>
      </c>
      <c r="Z105" s="872">
        <f t="shared" si="17"/>
        <v>39.666666666667481</v>
      </c>
      <c r="AA105" s="872">
        <f t="shared" si="17"/>
        <v>44.199999999999349</v>
      </c>
      <c r="AB105" s="872">
        <f t="shared" si="17"/>
        <v>47.033333333333985</v>
      </c>
      <c r="AC105" s="872">
        <f t="shared" si="17"/>
        <v>36.833333333332519</v>
      </c>
      <c r="AD105" s="872">
        <f t="shared" si="17"/>
        <v>41.366666666666703</v>
      </c>
      <c r="AE105" s="872">
        <f t="shared" si="18"/>
        <v>44.199999999999349</v>
      </c>
      <c r="AF105" s="872">
        <f t="shared" si="18"/>
        <v>34.000000000000583</v>
      </c>
      <c r="AG105" s="872">
        <f t="shared" si="18"/>
        <v>38.533333333333061</v>
      </c>
      <c r="AH105" s="872">
        <f t="shared" si="18"/>
        <v>41.366666666666703</v>
      </c>
      <c r="AI105" s="872">
        <f t="shared" si="18"/>
        <v>31.166666666666259</v>
      </c>
      <c r="AJ105" s="872">
        <f t="shared" si="18"/>
        <v>35.700000000000891</v>
      </c>
      <c r="AK105" s="872">
        <f t="shared" si="18"/>
        <v>38.533333333333061</v>
      </c>
    </row>
    <row r="106" spans="1:37" ht="13.5" thickBot="1">
      <c r="A106" s="868"/>
      <c r="B106" s="868"/>
      <c r="C106" s="868"/>
      <c r="D106" s="873">
        <f t="shared" si="12"/>
        <v>0.28611111111111059</v>
      </c>
      <c r="E106" s="872">
        <f t="shared" si="19"/>
        <v>80.111111111112734</v>
      </c>
      <c r="F106" s="872">
        <f t="shared" si="19"/>
        <v>84.688888888890091</v>
      </c>
      <c r="G106" s="872">
        <f t="shared" si="19"/>
        <v>87.549999999999812</v>
      </c>
      <c r="H106" s="872">
        <f t="shared" si="19"/>
        <v>74.388888888887266</v>
      </c>
      <c r="I106" s="872">
        <f t="shared" si="19"/>
        <v>78.966666666664906</v>
      </c>
      <c r="J106" s="872">
        <f t="shared" si="19"/>
        <v>81.827777777777044</v>
      </c>
      <c r="K106" s="872">
        <f t="shared" si="19"/>
        <v>68.666666666667837</v>
      </c>
      <c r="L106" s="872">
        <f t="shared" si="19"/>
        <v>73.244444444445094</v>
      </c>
      <c r="M106" s="872">
        <f t="shared" si="19"/>
        <v>76.105555555556819</v>
      </c>
      <c r="N106" s="872">
        <f t="shared" si="19"/>
        <v>51.5</v>
      </c>
      <c r="O106" s="872">
        <f t="shared" si="19"/>
        <v>56.077777777776099</v>
      </c>
      <c r="P106" s="872">
        <f t="shared" si="19"/>
        <v>58.938888888888727</v>
      </c>
      <c r="Q106" s="872">
        <f t="shared" si="19"/>
        <v>48.6388888888875</v>
      </c>
      <c r="R106" s="872">
        <f t="shared" si="19"/>
        <v>53.216666666665319</v>
      </c>
      <c r="S106" s="872">
        <f t="shared" si="19"/>
        <v>56.077777777776099</v>
      </c>
      <c r="T106" s="872">
        <f t="shared" si="19"/>
        <v>45.777777777777175</v>
      </c>
      <c r="U106" s="872">
        <f t="shared" si="17"/>
        <v>50.355555555555767</v>
      </c>
      <c r="V106" s="872">
        <f t="shared" si="17"/>
        <v>53.216666666665319</v>
      </c>
      <c r="W106" s="872">
        <f t="shared" si="17"/>
        <v>42.916666666666551</v>
      </c>
      <c r="X106" s="872">
        <f t="shared" si="17"/>
        <v>47.494444444445094</v>
      </c>
      <c r="Y106" s="872">
        <f t="shared" si="17"/>
        <v>50.355555555555767</v>
      </c>
      <c r="Z106" s="872">
        <f t="shared" si="17"/>
        <v>40.055555555556367</v>
      </c>
      <c r="AA106" s="872">
        <f t="shared" si="17"/>
        <v>44.633333333332679</v>
      </c>
      <c r="AB106" s="872">
        <f t="shared" si="17"/>
        <v>47.494444444445094</v>
      </c>
      <c r="AC106" s="872">
        <f t="shared" si="17"/>
        <v>37.194444444443633</v>
      </c>
      <c r="AD106" s="872">
        <f t="shared" si="17"/>
        <v>41.772222222222261</v>
      </c>
      <c r="AE106" s="872">
        <f t="shared" si="18"/>
        <v>44.633333333332679</v>
      </c>
      <c r="AF106" s="872">
        <f t="shared" si="18"/>
        <v>34.333333333333918</v>
      </c>
      <c r="AG106" s="872">
        <f t="shared" si="18"/>
        <v>38.911111111110841</v>
      </c>
      <c r="AH106" s="872">
        <f t="shared" si="18"/>
        <v>41.772222222222261</v>
      </c>
      <c r="AI106" s="872">
        <f t="shared" si="18"/>
        <v>31.472222222221816</v>
      </c>
      <c r="AJ106" s="872">
        <f t="shared" si="18"/>
        <v>36.050000000000892</v>
      </c>
      <c r="AK106" s="872">
        <f t="shared" si="18"/>
        <v>38.911111111110841</v>
      </c>
    </row>
    <row r="107" spans="1:37" ht="13.5" thickBot="1">
      <c r="A107" s="868"/>
      <c r="B107" s="868"/>
      <c r="C107" s="868"/>
      <c r="D107" s="873">
        <f t="shared" si="12"/>
        <v>0.28888888888888836</v>
      </c>
      <c r="E107" s="872">
        <f t="shared" si="19"/>
        <v>80.888888888890506</v>
      </c>
      <c r="F107" s="872">
        <f t="shared" si="19"/>
        <v>85.511111111112314</v>
      </c>
      <c r="G107" s="872">
        <f t="shared" si="19"/>
        <v>88.399999999999807</v>
      </c>
      <c r="H107" s="872">
        <f t="shared" si="19"/>
        <v>75.111111111109494</v>
      </c>
      <c r="I107" s="872">
        <f t="shared" si="19"/>
        <v>79.733333333331572</v>
      </c>
      <c r="J107" s="872">
        <f t="shared" si="19"/>
        <v>82.622222222221495</v>
      </c>
      <c r="K107" s="872">
        <f t="shared" si="19"/>
        <v>69.333333333334508</v>
      </c>
      <c r="L107" s="872">
        <f t="shared" si="19"/>
        <v>73.955555555556202</v>
      </c>
      <c r="M107" s="872">
        <f t="shared" si="19"/>
        <v>76.844444444445713</v>
      </c>
      <c r="N107" s="872">
        <f t="shared" si="19"/>
        <v>52</v>
      </c>
      <c r="O107" s="872">
        <f t="shared" si="19"/>
        <v>56.622222222220543</v>
      </c>
      <c r="P107" s="872">
        <f t="shared" si="19"/>
        <v>59.511111111110949</v>
      </c>
      <c r="Q107" s="872">
        <f t="shared" si="19"/>
        <v>49.111111111109722</v>
      </c>
      <c r="R107" s="872">
        <f t="shared" si="19"/>
        <v>53.733333333331984</v>
      </c>
      <c r="S107" s="872">
        <f t="shared" si="19"/>
        <v>56.622222222220543</v>
      </c>
      <c r="T107" s="872">
        <f t="shared" si="19"/>
        <v>46.222222222221617</v>
      </c>
      <c r="U107" s="872">
        <f t="shared" si="17"/>
        <v>50.844444444444655</v>
      </c>
      <c r="V107" s="872">
        <f t="shared" si="17"/>
        <v>53.733333333331984</v>
      </c>
      <c r="W107" s="872">
        <f t="shared" si="17"/>
        <v>43.333333333333215</v>
      </c>
      <c r="X107" s="872">
        <f t="shared" si="17"/>
        <v>47.955555555556202</v>
      </c>
      <c r="Y107" s="872">
        <f t="shared" si="17"/>
        <v>50.844444444444655</v>
      </c>
      <c r="Z107" s="872">
        <f t="shared" si="17"/>
        <v>40.444444444445253</v>
      </c>
      <c r="AA107" s="872">
        <f t="shared" si="17"/>
        <v>45.066666666666009</v>
      </c>
      <c r="AB107" s="872">
        <f t="shared" si="17"/>
        <v>47.955555555556202</v>
      </c>
      <c r="AC107" s="872">
        <f t="shared" si="17"/>
        <v>37.555555555554747</v>
      </c>
      <c r="AD107" s="872">
        <f t="shared" si="17"/>
        <v>42.17777777777782</v>
      </c>
      <c r="AE107" s="872">
        <f t="shared" si="18"/>
        <v>45.066666666666009</v>
      </c>
      <c r="AF107" s="872">
        <f t="shared" si="18"/>
        <v>34.666666666667254</v>
      </c>
      <c r="AG107" s="872">
        <f t="shared" si="18"/>
        <v>39.288888888888621</v>
      </c>
      <c r="AH107" s="872">
        <f t="shared" si="18"/>
        <v>42.17777777777782</v>
      </c>
      <c r="AI107" s="872">
        <f t="shared" si="18"/>
        <v>31.777777777777374</v>
      </c>
      <c r="AJ107" s="872">
        <f t="shared" si="18"/>
        <v>36.400000000000894</v>
      </c>
      <c r="AK107" s="872">
        <f t="shared" si="18"/>
        <v>39.288888888888621</v>
      </c>
    </row>
    <row r="108" spans="1:37" ht="13.5" thickBot="1">
      <c r="A108" s="868"/>
      <c r="B108" s="868"/>
      <c r="C108" s="868"/>
      <c r="D108" s="873">
        <f t="shared" si="12"/>
        <v>0.29166666666666613</v>
      </c>
      <c r="E108" s="872">
        <f t="shared" si="19"/>
        <v>81.666666666668277</v>
      </c>
      <c r="F108" s="872">
        <f t="shared" si="19"/>
        <v>86.333333333334537</v>
      </c>
      <c r="G108" s="872">
        <f t="shared" si="19"/>
        <v>89.249999999999801</v>
      </c>
      <c r="H108" s="872">
        <f t="shared" si="19"/>
        <v>75.833333333331723</v>
      </c>
      <c r="I108" s="872">
        <f t="shared" si="19"/>
        <v>80.499999999998238</v>
      </c>
      <c r="J108" s="872">
        <f t="shared" si="19"/>
        <v>83.416666666665947</v>
      </c>
      <c r="K108" s="872">
        <f t="shared" si="19"/>
        <v>70.00000000000118</v>
      </c>
      <c r="L108" s="872">
        <f t="shared" si="19"/>
        <v>74.666666666667311</v>
      </c>
      <c r="M108" s="872">
        <f t="shared" si="19"/>
        <v>77.583333333334608</v>
      </c>
      <c r="N108" s="872">
        <f t="shared" si="19"/>
        <v>52.5</v>
      </c>
      <c r="O108" s="872">
        <f t="shared" si="19"/>
        <v>57.166666666664987</v>
      </c>
      <c r="P108" s="872">
        <f t="shared" si="19"/>
        <v>60.083333333333172</v>
      </c>
      <c r="Q108" s="872">
        <f t="shared" si="19"/>
        <v>49.583333333331943</v>
      </c>
      <c r="R108" s="872">
        <f t="shared" si="19"/>
        <v>54.24999999999865</v>
      </c>
      <c r="S108" s="872">
        <f t="shared" si="19"/>
        <v>57.166666666664987</v>
      </c>
      <c r="T108" s="872">
        <f t="shared" si="19"/>
        <v>46.66666666666606</v>
      </c>
      <c r="U108" s="872">
        <f t="shared" si="17"/>
        <v>51.333333333333542</v>
      </c>
      <c r="V108" s="872">
        <f t="shared" si="17"/>
        <v>54.24999999999865</v>
      </c>
      <c r="W108" s="872">
        <f t="shared" si="17"/>
        <v>43.749999999999879</v>
      </c>
      <c r="X108" s="872">
        <f t="shared" si="17"/>
        <v>48.416666666667311</v>
      </c>
      <c r="Y108" s="872">
        <f t="shared" si="17"/>
        <v>51.333333333333542</v>
      </c>
      <c r="Z108" s="872">
        <f t="shared" si="17"/>
        <v>40.833333333334139</v>
      </c>
      <c r="AA108" s="872">
        <f t="shared" si="17"/>
        <v>45.499999999999339</v>
      </c>
      <c r="AB108" s="872">
        <f t="shared" si="17"/>
        <v>48.416666666667311</v>
      </c>
      <c r="AC108" s="872">
        <f t="shared" si="17"/>
        <v>37.916666666665861</v>
      </c>
      <c r="AD108" s="872">
        <f t="shared" si="17"/>
        <v>42.583333333333378</v>
      </c>
      <c r="AE108" s="872">
        <f t="shared" si="18"/>
        <v>45.499999999999339</v>
      </c>
      <c r="AF108" s="872">
        <f t="shared" si="18"/>
        <v>35.00000000000059</v>
      </c>
      <c r="AG108" s="872">
        <f t="shared" si="18"/>
        <v>39.666666666666401</v>
      </c>
      <c r="AH108" s="872">
        <f t="shared" si="18"/>
        <v>42.583333333333378</v>
      </c>
      <c r="AI108" s="872">
        <f t="shared" si="18"/>
        <v>32.083333333332931</v>
      </c>
      <c r="AJ108" s="872">
        <f t="shared" si="18"/>
        <v>36.750000000000895</v>
      </c>
      <c r="AK108" s="872">
        <f t="shared" si="18"/>
        <v>39.666666666666401</v>
      </c>
    </row>
    <row r="109" spans="1:37" ht="13.5" thickBot="1">
      <c r="A109" s="868"/>
      <c r="B109" s="868"/>
      <c r="C109" s="868"/>
      <c r="D109" s="873">
        <f t="shared" si="12"/>
        <v>0.2944444444444439</v>
      </c>
      <c r="E109" s="872">
        <f t="shared" si="19"/>
        <v>82.444444444446049</v>
      </c>
      <c r="F109" s="872">
        <f t="shared" si="19"/>
        <v>87.155555555556759</v>
      </c>
      <c r="G109" s="872">
        <f t="shared" si="19"/>
        <v>90.099999999999795</v>
      </c>
      <c r="H109" s="872">
        <f t="shared" si="19"/>
        <v>76.555555555553951</v>
      </c>
      <c r="I109" s="872">
        <f t="shared" si="19"/>
        <v>81.266666666664904</v>
      </c>
      <c r="J109" s="872">
        <f t="shared" si="19"/>
        <v>84.211111111110398</v>
      </c>
      <c r="K109" s="872">
        <f t="shared" si="19"/>
        <v>70.666666666667851</v>
      </c>
      <c r="L109" s="872">
        <f t="shared" si="19"/>
        <v>75.377777777778419</v>
      </c>
      <c r="M109" s="872">
        <f t="shared" si="19"/>
        <v>78.322222222223502</v>
      </c>
      <c r="N109" s="872">
        <f t="shared" si="19"/>
        <v>53</v>
      </c>
      <c r="O109" s="872">
        <f t="shared" si="19"/>
        <v>57.711111111109432</v>
      </c>
      <c r="P109" s="872">
        <f t="shared" si="19"/>
        <v>60.655555555555395</v>
      </c>
      <c r="Q109" s="872">
        <f t="shared" si="19"/>
        <v>50.055555555554164</v>
      </c>
      <c r="R109" s="872">
        <f t="shared" si="19"/>
        <v>54.766666666665316</v>
      </c>
      <c r="S109" s="872">
        <f t="shared" si="19"/>
        <v>57.711111111109432</v>
      </c>
      <c r="T109" s="872">
        <f t="shared" si="19"/>
        <v>47.111111111110503</v>
      </c>
      <c r="U109" s="872">
        <f t="shared" si="17"/>
        <v>51.822222222222429</v>
      </c>
      <c r="V109" s="872">
        <f t="shared" si="17"/>
        <v>54.766666666665316</v>
      </c>
      <c r="W109" s="872">
        <f t="shared" si="17"/>
        <v>44.166666666666544</v>
      </c>
      <c r="X109" s="872">
        <f t="shared" si="17"/>
        <v>48.877777777778419</v>
      </c>
      <c r="Y109" s="872">
        <f t="shared" si="17"/>
        <v>51.822222222222429</v>
      </c>
      <c r="Z109" s="872">
        <f t="shared" si="17"/>
        <v>41.222222222223024</v>
      </c>
      <c r="AA109" s="872">
        <f t="shared" si="17"/>
        <v>45.933333333332669</v>
      </c>
      <c r="AB109" s="872">
        <f t="shared" si="17"/>
        <v>48.877777777778419</v>
      </c>
      <c r="AC109" s="872">
        <f t="shared" si="17"/>
        <v>38.277777777776976</v>
      </c>
      <c r="AD109" s="872">
        <f t="shared" si="17"/>
        <v>42.988888888888937</v>
      </c>
      <c r="AE109" s="872">
        <f t="shared" si="18"/>
        <v>45.933333333332669</v>
      </c>
      <c r="AF109" s="872">
        <f t="shared" si="18"/>
        <v>35.333333333333925</v>
      </c>
      <c r="AG109" s="872">
        <f t="shared" si="18"/>
        <v>40.044444444444181</v>
      </c>
      <c r="AH109" s="872">
        <f t="shared" si="18"/>
        <v>42.988888888888937</v>
      </c>
      <c r="AI109" s="872">
        <f t="shared" si="18"/>
        <v>32.388888888888488</v>
      </c>
      <c r="AJ109" s="872">
        <f t="shared" si="18"/>
        <v>37.100000000000897</v>
      </c>
      <c r="AK109" s="872">
        <f t="shared" si="18"/>
        <v>40.044444444444181</v>
      </c>
    </row>
    <row r="110" spans="1:37" ht="13.5" thickBot="1">
      <c r="A110" s="868"/>
      <c r="B110" s="868"/>
      <c r="C110" s="868"/>
      <c r="D110" s="873">
        <f t="shared" si="12"/>
        <v>0.29722222222222167</v>
      </c>
      <c r="E110" s="872">
        <f t="shared" si="19"/>
        <v>83.22222222222382</v>
      </c>
      <c r="F110" s="872">
        <f t="shared" si="19"/>
        <v>87.977777777778982</v>
      </c>
      <c r="G110" s="872">
        <f t="shared" si="19"/>
        <v>90.94999999999979</v>
      </c>
      <c r="H110" s="872">
        <f t="shared" si="19"/>
        <v>77.27777777777618</v>
      </c>
      <c r="I110" s="872">
        <f t="shared" si="19"/>
        <v>82.033333333331569</v>
      </c>
      <c r="J110" s="872">
        <f t="shared" si="19"/>
        <v>85.005555555554849</v>
      </c>
      <c r="K110" s="872">
        <f t="shared" si="19"/>
        <v>71.333333333334522</v>
      </c>
      <c r="L110" s="872">
        <f t="shared" si="19"/>
        <v>76.088888888889528</v>
      </c>
      <c r="M110" s="872">
        <f t="shared" si="19"/>
        <v>79.061111111112396</v>
      </c>
      <c r="N110" s="872">
        <f t="shared" si="19"/>
        <v>53.5</v>
      </c>
      <c r="O110" s="872">
        <f t="shared" si="19"/>
        <v>58.255555555553876</v>
      </c>
      <c r="P110" s="872">
        <f t="shared" si="19"/>
        <v>61.227777777777618</v>
      </c>
      <c r="Q110" s="872">
        <f t="shared" si="19"/>
        <v>50.527777777776386</v>
      </c>
      <c r="R110" s="872">
        <f t="shared" si="19"/>
        <v>55.283333333331981</v>
      </c>
      <c r="S110" s="872">
        <f t="shared" si="19"/>
        <v>58.255555555553876</v>
      </c>
      <c r="T110" s="872">
        <f t="shared" si="19"/>
        <v>47.555555555554946</v>
      </c>
      <c r="U110" s="872">
        <f t="shared" si="17"/>
        <v>52.311111111111316</v>
      </c>
      <c r="V110" s="872">
        <f t="shared" si="17"/>
        <v>55.283333333331981</v>
      </c>
      <c r="W110" s="872">
        <f t="shared" si="17"/>
        <v>44.583333333333208</v>
      </c>
      <c r="X110" s="872">
        <f t="shared" si="17"/>
        <v>49.338888888889528</v>
      </c>
      <c r="Y110" s="872">
        <f t="shared" si="17"/>
        <v>52.311111111111316</v>
      </c>
      <c r="Z110" s="872">
        <f t="shared" si="17"/>
        <v>41.61111111111191</v>
      </c>
      <c r="AA110" s="872">
        <f t="shared" si="17"/>
        <v>46.366666666665999</v>
      </c>
      <c r="AB110" s="872">
        <f t="shared" si="17"/>
        <v>49.338888888889528</v>
      </c>
      <c r="AC110" s="872">
        <f t="shared" si="17"/>
        <v>38.63888888888809</v>
      </c>
      <c r="AD110" s="872">
        <f t="shared" si="17"/>
        <v>43.394444444444495</v>
      </c>
      <c r="AE110" s="872">
        <f t="shared" si="18"/>
        <v>46.366666666665999</v>
      </c>
      <c r="AF110" s="872">
        <f t="shared" si="18"/>
        <v>35.666666666667261</v>
      </c>
      <c r="AG110" s="872">
        <f t="shared" si="18"/>
        <v>40.422222222221961</v>
      </c>
      <c r="AH110" s="872">
        <f t="shared" si="18"/>
        <v>43.394444444444495</v>
      </c>
      <c r="AI110" s="872">
        <f t="shared" si="18"/>
        <v>32.694444444444045</v>
      </c>
      <c r="AJ110" s="872">
        <f t="shared" si="18"/>
        <v>37.450000000000898</v>
      </c>
      <c r="AK110" s="872">
        <f t="shared" si="18"/>
        <v>40.422222222221961</v>
      </c>
    </row>
    <row r="111" spans="1:37" ht="13.5" thickBot="1">
      <c r="A111" s="868"/>
      <c r="B111" s="868"/>
      <c r="C111" s="868"/>
      <c r="D111" s="873">
        <f t="shared" si="12"/>
        <v>0.29999999999999943</v>
      </c>
      <c r="E111" s="872">
        <f t="shared" si="19"/>
        <v>84.000000000001592</v>
      </c>
      <c r="F111" s="872">
        <f t="shared" si="19"/>
        <v>88.800000000001205</v>
      </c>
      <c r="G111" s="872">
        <f t="shared" si="19"/>
        <v>91.799999999999784</v>
      </c>
      <c r="H111" s="872">
        <f t="shared" si="19"/>
        <v>77.999999999998408</v>
      </c>
      <c r="I111" s="872">
        <f t="shared" si="19"/>
        <v>82.799999999998235</v>
      </c>
      <c r="J111" s="872">
        <f t="shared" si="19"/>
        <v>85.799999999999301</v>
      </c>
      <c r="K111" s="872">
        <f t="shared" si="19"/>
        <v>72.000000000001194</v>
      </c>
      <c r="L111" s="872">
        <f t="shared" si="19"/>
        <v>76.800000000000637</v>
      </c>
      <c r="M111" s="872">
        <f t="shared" si="19"/>
        <v>79.80000000000129</v>
      </c>
      <c r="N111" s="872">
        <f t="shared" si="19"/>
        <v>54</v>
      </c>
      <c r="O111" s="872">
        <f t="shared" si="19"/>
        <v>58.79999999999832</v>
      </c>
      <c r="P111" s="872">
        <f t="shared" si="19"/>
        <v>61.799999999999841</v>
      </c>
      <c r="Q111" s="872">
        <f t="shared" si="19"/>
        <v>50.999999999998607</v>
      </c>
      <c r="R111" s="872">
        <f t="shared" si="19"/>
        <v>55.799999999998647</v>
      </c>
      <c r="S111" s="872">
        <f t="shared" si="19"/>
        <v>58.79999999999832</v>
      </c>
      <c r="T111" s="872">
        <f t="shared" si="19"/>
        <v>47.999999999999389</v>
      </c>
      <c r="U111" s="872">
        <f t="shared" si="17"/>
        <v>52.800000000000203</v>
      </c>
      <c r="V111" s="872">
        <f t="shared" si="17"/>
        <v>55.799999999998647</v>
      </c>
      <c r="W111" s="872">
        <f t="shared" si="17"/>
        <v>44.999999999999872</v>
      </c>
      <c r="X111" s="872">
        <f t="shared" si="17"/>
        <v>49.800000000000637</v>
      </c>
      <c r="Y111" s="872">
        <f t="shared" si="17"/>
        <v>52.800000000000203</v>
      </c>
      <c r="Z111" s="872">
        <f t="shared" si="17"/>
        <v>42.000000000000796</v>
      </c>
      <c r="AA111" s="872">
        <f t="shared" si="17"/>
        <v>46.799999999999329</v>
      </c>
      <c r="AB111" s="872">
        <f t="shared" si="17"/>
        <v>49.800000000000637</v>
      </c>
      <c r="AC111" s="872">
        <f t="shared" si="17"/>
        <v>38.999999999999204</v>
      </c>
      <c r="AD111" s="872">
        <f t="shared" si="17"/>
        <v>43.800000000000054</v>
      </c>
      <c r="AE111" s="872">
        <f t="shared" si="18"/>
        <v>46.799999999999329</v>
      </c>
      <c r="AF111" s="872">
        <f t="shared" si="18"/>
        <v>36.000000000000597</v>
      </c>
      <c r="AG111" s="872">
        <f t="shared" si="18"/>
        <v>40.799999999999741</v>
      </c>
      <c r="AH111" s="872">
        <f t="shared" si="18"/>
        <v>43.800000000000054</v>
      </c>
      <c r="AI111" s="872">
        <f t="shared" si="18"/>
        <v>32.999999999999602</v>
      </c>
      <c r="AJ111" s="872">
        <f t="shared" si="18"/>
        <v>37.8000000000009</v>
      </c>
      <c r="AK111" s="872">
        <f t="shared" si="18"/>
        <v>40.799999999999741</v>
      </c>
    </row>
    <row r="112" spans="1:37" ht="13.5" thickBot="1">
      <c r="A112" s="868"/>
      <c r="B112" s="868"/>
      <c r="C112" s="868"/>
      <c r="D112" s="873">
        <f t="shared" si="12"/>
        <v>0.3027777777777772</v>
      </c>
      <c r="E112" s="872">
        <f t="shared" si="19"/>
        <v>84.777777777779363</v>
      </c>
      <c r="F112" s="872">
        <f t="shared" si="19"/>
        <v>89.622222222223428</v>
      </c>
      <c r="G112" s="872">
        <f t="shared" si="19"/>
        <v>92.649999999999778</v>
      </c>
      <c r="H112" s="872">
        <f t="shared" si="19"/>
        <v>78.722222222220637</v>
      </c>
      <c r="I112" s="872">
        <f t="shared" si="19"/>
        <v>83.566666666664901</v>
      </c>
      <c r="J112" s="872">
        <f t="shared" si="19"/>
        <v>86.594444444443752</v>
      </c>
      <c r="K112" s="872">
        <f t="shared" si="19"/>
        <v>72.666666666667865</v>
      </c>
      <c r="L112" s="872">
        <f t="shared" si="19"/>
        <v>77.511111111111745</v>
      </c>
      <c r="M112" s="872">
        <f t="shared" si="19"/>
        <v>80.538888888890185</v>
      </c>
      <c r="N112" s="872">
        <f t="shared" si="19"/>
        <v>54.5</v>
      </c>
      <c r="O112" s="872">
        <f t="shared" si="19"/>
        <v>59.344444444442765</v>
      </c>
      <c r="P112" s="872">
        <f t="shared" si="19"/>
        <v>62.372222222222064</v>
      </c>
      <c r="Q112" s="872">
        <f t="shared" si="19"/>
        <v>51.472222222220829</v>
      </c>
      <c r="R112" s="872">
        <f t="shared" si="19"/>
        <v>56.316666666665313</v>
      </c>
      <c r="S112" s="872">
        <f t="shared" si="19"/>
        <v>59.344444444442765</v>
      </c>
      <c r="T112" s="872">
        <f t="shared" si="19"/>
        <v>48.444444444443832</v>
      </c>
      <c r="U112" s="872">
        <f t="shared" si="17"/>
        <v>53.28888888888909</v>
      </c>
      <c r="V112" s="872">
        <f t="shared" si="17"/>
        <v>56.316666666665313</v>
      </c>
      <c r="W112" s="872">
        <f t="shared" si="17"/>
        <v>45.416666666666536</v>
      </c>
      <c r="X112" s="872">
        <f t="shared" si="17"/>
        <v>50.261111111111745</v>
      </c>
      <c r="Y112" s="872">
        <f t="shared" si="17"/>
        <v>53.28888888888909</v>
      </c>
      <c r="Z112" s="872">
        <f t="shared" si="17"/>
        <v>42.388888888889682</v>
      </c>
      <c r="AA112" s="872">
        <f t="shared" si="17"/>
        <v>47.233333333332659</v>
      </c>
      <c r="AB112" s="872">
        <f t="shared" si="17"/>
        <v>50.261111111111745</v>
      </c>
      <c r="AC112" s="872">
        <f t="shared" si="17"/>
        <v>39.361111111110318</v>
      </c>
      <c r="AD112" s="872">
        <f t="shared" si="17"/>
        <v>44.205555555555613</v>
      </c>
      <c r="AE112" s="872">
        <f t="shared" si="18"/>
        <v>47.233333333332659</v>
      </c>
      <c r="AF112" s="872">
        <f t="shared" si="18"/>
        <v>36.333333333333933</v>
      </c>
      <c r="AG112" s="872">
        <f t="shared" si="18"/>
        <v>41.177777777777521</v>
      </c>
      <c r="AH112" s="872">
        <f t="shared" si="18"/>
        <v>44.205555555555613</v>
      </c>
      <c r="AI112" s="872">
        <f t="shared" si="18"/>
        <v>33.305555555555159</v>
      </c>
      <c r="AJ112" s="872">
        <f t="shared" si="18"/>
        <v>38.150000000000901</v>
      </c>
      <c r="AK112" s="872">
        <f t="shared" si="18"/>
        <v>41.177777777777521</v>
      </c>
    </row>
    <row r="113" spans="1:37" ht="13.5" thickBot="1">
      <c r="A113" s="868"/>
      <c r="B113" s="868"/>
      <c r="C113" s="868"/>
      <c r="D113" s="873">
        <f t="shared" si="12"/>
        <v>0.30555555555555497</v>
      </c>
      <c r="E113" s="872">
        <f t="shared" si="19"/>
        <v>85.555555555557135</v>
      </c>
      <c r="F113" s="872">
        <f t="shared" si="19"/>
        <v>90.444444444445651</v>
      </c>
      <c r="G113" s="872">
        <f t="shared" si="19"/>
        <v>93.499999999999773</v>
      </c>
      <c r="H113" s="872">
        <f t="shared" si="19"/>
        <v>79.444444444442865</v>
      </c>
      <c r="I113" s="872">
        <f t="shared" si="19"/>
        <v>84.333333333331566</v>
      </c>
      <c r="J113" s="872">
        <f t="shared" si="19"/>
        <v>87.388888888888204</v>
      </c>
      <c r="K113" s="872">
        <f t="shared" si="19"/>
        <v>73.333333333334537</v>
      </c>
      <c r="L113" s="872">
        <f t="shared" si="19"/>
        <v>78.222222222222854</v>
      </c>
      <c r="M113" s="872">
        <f t="shared" si="19"/>
        <v>81.277777777779079</v>
      </c>
      <c r="N113" s="872">
        <f t="shared" si="19"/>
        <v>55</v>
      </c>
      <c r="O113" s="872">
        <f t="shared" si="19"/>
        <v>59.888888888887209</v>
      </c>
      <c r="P113" s="872">
        <f t="shared" si="19"/>
        <v>62.944444444444287</v>
      </c>
      <c r="Q113" s="872">
        <f t="shared" si="19"/>
        <v>51.94444444444305</v>
      </c>
      <c r="R113" s="872">
        <f t="shared" si="19"/>
        <v>56.833333333331979</v>
      </c>
      <c r="S113" s="872">
        <f t="shared" si="19"/>
        <v>59.888888888887209</v>
      </c>
      <c r="T113" s="872">
        <f t="shared" si="19"/>
        <v>48.888888888888275</v>
      </c>
      <c r="U113" s="872">
        <f t="shared" si="17"/>
        <v>53.777777777777978</v>
      </c>
      <c r="V113" s="872">
        <f t="shared" si="17"/>
        <v>56.833333333331979</v>
      </c>
      <c r="W113" s="872">
        <f t="shared" si="17"/>
        <v>45.833333333333201</v>
      </c>
      <c r="X113" s="872">
        <f t="shared" si="17"/>
        <v>50.722222222222854</v>
      </c>
      <c r="Y113" s="872">
        <f t="shared" si="17"/>
        <v>53.777777777777978</v>
      </c>
      <c r="Z113" s="872">
        <f t="shared" si="17"/>
        <v>42.777777777778567</v>
      </c>
      <c r="AA113" s="872">
        <f t="shared" si="17"/>
        <v>47.666666666665989</v>
      </c>
      <c r="AB113" s="872">
        <f t="shared" si="17"/>
        <v>50.722222222222854</v>
      </c>
      <c r="AC113" s="872">
        <f t="shared" si="17"/>
        <v>39.722222222221433</v>
      </c>
      <c r="AD113" s="872">
        <f t="shared" si="17"/>
        <v>44.611111111111171</v>
      </c>
      <c r="AE113" s="872">
        <f t="shared" si="18"/>
        <v>47.666666666665989</v>
      </c>
      <c r="AF113" s="872">
        <f t="shared" si="18"/>
        <v>36.666666666667268</v>
      </c>
      <c r="AG113" s="872">
        <f t="shared" si="18"/>
        <v>41.555555555555301</v>
      </c>
      <c r="AH113" s="872">
        <f t="shared" si="18"/>
        <v>44.611111111111171</v>
      </c>
      <c r="AI113" s="872">
        <f t="shared" si="18"/>
        <v>33.611111111110716</v>
      </c>
      <c r="AJ113" s="872">
        <f t="shared" si="18"/>
        <v>38.500000000000902</v>
      </c>
      <c r="AK113" s="872">
        <f t="shared" si="18"/>
        <v>41.555555555555301</v>
      </c>
    </row>
    <row r="114" spans="1:37" ht="13.5" thickBot="1">
      <c r="A114" s="868"/>
      <c r="B114" s="868"/>
      <c r="C114" s="868"/>
      <c r="D114" s="873">
        <f t="shared" si="12"/>
        <v>0.30833333333333274</v>
      </c>
      <c r="E114" s="872">
        <f t="shared" si="19"/>
        <v>86.333333333334906</v>
      </c>
      <c r="F114" s="872">
        <f t="shared" si="19"/>
        <v>91.266666666667874</v>
      </c>
      <c r="G114" s="872">
        <f t="shared" si="19"/>
        <v>94.349999999999767</v>
      </c>
      <c r="H114" s="872">
        <f t="shared" si="19"/>
        <v>80.166666666665094</v>
      </c>
      <c r="I114" s="872">
        <f t="shared" si="19"/>
        <v>85.099999999998232</v>
      </c>
      <c r="J114" s="872">
        <f t="shared" si="19"/>
        <v>88.183333333332655</v>
      </c>
      <c r="K114" s="872">
        <f t="shared" si="19"/>
        <v>74.000000000001208</v>
      </c>
      <c r="L114" s="872">
        <f t="shared" si="19"/>
        <v>78.933333333333962</v>
      </c>
      <c r="M114" s="872">
        <f t="shared" si="19"/>
        <v>82.016666666667973</v>
      </c>
      <c r="N114" s="872">
        <f t="shared" si="19"/>
        <v>55.5</v>
      </c>
      <c r="O114" s="872">
        <f t="shared" si="19"/>
        <v>60.433333333331653</v>
      </c>
      <c r="P114" s="872">
        <f t="shared" si="19"/>
        <v>63.516666666666509</v>
      </c>
      <c r="Q114" s="872">
        <f t="shared" si="19"/>
        <v>52.416666666665272</v>
      </c>
      <c r="R114" s="872">
        <f t="shared" si="19"/>
        <v>57.349999999998644</v>
      </c>
      <c r="S114" s="872">
        <f t="shared" si="19"/>
        <v>60.433333333331653</v>
      </c>
      <c r="T114" s="872">
        <f t="shared" si="19"/>
        <v>49.333333333332718</v>
      </c>
      <c r="U114" s="872">
        <f t="shared" ref="U114:AD139" si="20">U115-(U$363/360)</f>
        <v>54.266666666666865</v>
      </c>
      <c r="V114" s="872">
        <f t="shared" si="20"/>
        <v>57.349999999998644</v>
      </c>
      <c r="W114" s="872">
        <f t="shared" si="20"/>
        <v>46.249999999999865</v>
      </c>
      <c r="X114" s="872">
        <f t="shared" si="20"/>
        <v>51.183333333333962</v>
      </c>
      <c r="Y114" s="872">
        <f t="shared" si="20"/>
        <v>54.266666666666865</v>
      </c>
      <c r="Z114" s="872">
        <f t="shared" si="20"/>
        <v>43.166666666667453</v>
      </c>
      <c r="AA114" s="872">
        <f t="shared" si="20"/>
        <v>48.099999999999319</v>
      </c>
      <c r="AB114" s="872">
        <f t="shared" si="20"/>
        <v>51.183333333333962</v>
      </c>
      <c r="AC114" s="872">
        <f t="shared" si="20"/>
        <v>40.083333333332547</v>
      </c>
      <c r="AD114" s="872">
        <f t="shared" si="20"/>
        <v>45.01666666666673</v>
      </c>
      <c r="AE114" s="872">
        <f t="shared" si="18"/>
        <v>48.099999999999319</v>
      </c>
      <c r="AF114" s="872">
        <f t="shared" si="18"/>
        <v>37.000000000000604</v>
      </c>
      <c r="AG114" s="872">
        <f t="shared" si="18"/>
        <v>41.933333333333081</v>
      </c>
      <c r="AH114" s="872">
        <f t="shared" si="18"/>
        <v>45.01666666666673</v>
      </c>
      <c r="AI114" s="872">
        <f t="shared" si="18"/>
        <v>33.916666666666273</v>
      </c>
      <c r="AJ114" s="872">
        <f t="shared" si="18"/>
        <v>38.850000000000904</v>
      </c>
      <c r="AK114" s="872">
        <f t="shared" si="18"/>
        <v>41.933333333333081</v>
      </c>
    </row>
    <row r="115" spans="1:37" ht="13.5" thickBot="1">
      <c r="A115" s="868"/>
      <c r="B115" s="868"/>
      <c r="C115" s="868"/>
      <c r="D115" s="873">
        <f t="shared" si="12"/>
        <v>0.31111111111111051</v>
      </c>
      <c r="E115" s="872">
        <f t="shared" si="19"/>
        <v>87.111111111112677</v>
      </c>
      <c r="F115" s="872">
        <f t="shared" si="19"/>
        <v>92.088888888890096</v>
      </c>
      <c r="G115" s="872">
        <f t="shared" si="19"/>
        <v>95.199999999999761</v>
      </c>
      <c r="H115" s="872">
        <f t="shared" si="19"/>
        <v>80.888888888887323</v>
      </c>
      <c r="I115" s="872">
        <f t="shared" si="19"/>
        <v>85.866666666664898</v>
      </c>
      <c r="J115" s="872">
        <f t="shared" si="19"/>
        <v>88.977777777777106</v>
      </c>
      <c r="K115" s="872">
        <f t="shared" si="19"/>
        <v>74.666666666667879</v>
      </c>
      <c r="L115" s="872">
        <f t="shared" si="19"/>
        <v>79.644444444445071</v>
      </c>
      <c r="M115" s="872">
        <f t="shared" si="19"/>
        <v>82.755555555556867</v>
      </c>
      <c r="N115" s="872">
        <f t="shared" si="19"/>
        <v>56</v>
      </c>
      <c r="O115" s="872">
        <f t="shared" si="19"/>
        <v>60.977777777776097</v>
      </c>
      <c r="P115" s="872">
        <f t="shared" si="19"/>
        <v>64.088888888888732</v>
      </c>
      <c r="Q115" s="872">
        <f t="shared" si="19"/>
        <v>52.888888888887493</v>
      </c>
      <c r="R115" s="872">
        <f t="shared" si="19"/>
        <v>57.86666666666531</v>
      </c>
      <c r="S115" s="872">
        <f t="shared" si="19"/>
        <v>60.977777777776097</v>
      </c>
      <c r="T115" s="872">
        <f t="shared" si="19"/>
        <v>49.77777777777716</v>
      </c>
      <c r="U115" s="872">
        <f t="shared" si="20"/>
        <v>54.755555555555752</v>
      </c>
      <c r="V115" s="872">
        <f t="shared" si="20"/>
        <v>57.86666666666531</v>
      </c>
      <c r="W115" s="872">
        <f t="shared" si="20"/>
        <v>46.666666666666529</v>
      </c>
      <c r="X115" s="872">
        <f t="shared" si="20"/>
        <v>51.644444444445071</v>
      </c>
      <c r="Y115" s="872">
        <f t="shared" si="20"/>
        <v>54.755555555555752</v>
      </c>
      <c r="Z115" s="872">
        <f t="shared" si="20"/>
        <v>43.555555555556339</v>
      </c>
      <c r="AA115" s="872">
        <f t="shared" si="20"/>
        <v>48.533333333332649</v>
      </c>
      <c r="AB115" s="872">
        <f t="shared" si="20"/>
        <v>51.644444444445071</v>
      </c>
      <c r="AC115" s="872">
        <f t="shared" si="20"/>
        <v>40.444444444443661</v>
      </c>
      <c r="AD115" s="872">
        <f t="shared" si="20"/>
        <v>45.422222222222288</v>
      </c>
      <c r="AE115" s="872">
        <f t="shared" si="18"/>
        <v>48.533333333332649</v>
      </c>
      <c r="AF115" s="872">
        <f t="shared" si="18"/>
        <v>37.33333333333394</v>
      </c>
      <c r="AG115" s="872">
        <f t="shared" si="18"/>
        <v>42.311111111110861</v>
      </c>
      <c r="AH115" s="872">
        <f t="shared" si="18"/>
        <v>45.422222222222288</v>
      </c>
      <c r="AI115" s="872">
        <f t="shared" si="18"/>
        <v>34.222222222221831</v>
      </c>
      <c r="AJ115" s="872">
        <f t="shared" si="18"/>
        <v>39.200000000000905</v>
      </c>
      <c r="AK115" s="872">
        <f t="shared" si="18"/>
        <v>42.311111111110861</v>
      </c>
    </row>
    <row r="116" spans="1:37" ht="13.5" thickBot="1">
      <c r="A116" s="868"/>
      <c r="B116" s="868"/>
      <c r="C116" s="868"/>
      <c r="D116" s="873">
        <f t="shared" si="12"/>
        <v>0.31388888888888827</v>
      </c>
      <c r="E116" s="872">
        <f t="shared" si="19"/>
        <v>87.888888888890449</v>
      </c>
      <c r="F116" s="872">
        <f t="shared" si="19"/>
        <v>92.911111111112319</v>
      </c>
      <c r="G116" s="872">
        <f t="shared" si="19"/>
        <v>96.049999999999756</v>
      </c>
      <c r="H116" s="872">
        <f t="shared" si="19"/>
        <v>81.611111111109551</v>
      </c>
      <c r="I116" s="872">
        <f t="shared" si="19"/>
        <v>86.633333333331564</v>
      </c>
      <c r="J116" s="872">
        <f t="shared" si="19"/>
        <v>89.772222222221558</v>
      </c>
      <c r="K116" s="872">
        <f t="shared" si="19"/>
        <v>75.333333333334551</v>
      </c>
      <c r="L116" s="872">
        <f t="shared" si="19"/>
        <v>80.35555555555618</v>
      </c>
      <c r="M116" s="872">
        <f t="shared" si="19"/>
        <v>83.494444444445762</v>
      </c>
      <c r="N116" s="872">
        <f t="shared" si="19"/>
        <v>56.5</v>
      </c>
      <c r="O116" s="872">
        <f t="shared" si="19"/>
        <v>61.522222222220542</v>
      </c>
      <c r="P116" s="872">
        <f t="shared" si="19"/>
        <v>64.661111111110955</v>
      </c>
      <c r="Q116" s="872">
        <f t="shared" si="19"/>
        <v>53.361111111109714</v>
      </c>
      <c r="R116" s="872">
        <f t="shared" si="19"/>
        <v>58.383333333331976</v>
      </c>
      <c r="S116" s="872">
        <f t="shared" si="19"/>
        <v>61.522222222220542</v>
      </c>
      <c r="T116" s="872">
        <f t="shared" ref="T116:T147" si="21">T117-(T$363/360)</f>
        <v>50.222222222221603</v>
      </c>
      <c r="U116" s="872">
        <f t="shared" si="20"/>
        <v>55.244444444444639</v>
      </c>
      <c r="V116" s="872">
        <f t="shared" si="20"/>
        <v>58.383333333331976</v>
      </c>
      <c r="W116" s="872">
        <f t="shared" si="20"/>
        <v>47.083333333333194</v>
      </c>
      <c r="X116" s="872">
        <f t="shared" si="20"/>
        <v>52.10555555555618</v>
      </c>
      <c r="Y116" s="872">
        <f t="shared" si="20"/>
        <v>55.244444444444639</v>
      </c>
      <c r="Z116" s="872">
        <f t="shared" si="20"/>
        <v>43.944444444445224</v>
      </c>
      <c r="AA116" s="872">
        <f t="shared" si="20"/>
        <v>48.966666666665979</v>
      </c>
      <c r="AB116" s="872">
        <f t="shared" si="20"/>
        <v>52.10555555555618</v>
      </c>
      <c r="AC116" s="872">
        <f t="shared" si="20"/>
        <v>40.805555555554776</v>
      </c>
      <c r="AD116" s="872">
        <f t="shared" si="20"/>
        <v>45.827777777777847</v>
      </c>
      <c r="AE116" s="872">
        <f t="shared" si="18"/>
        <v>48.966666666665979</v>
      </c>
      <c r="AF116" s="872">
        <f t="shared" si="18"/>
        <v>37.666666666667275</v>
      </c>
      <c r="AG116" s="872">
        <f t="shared" si="18"/>
        <v>42.688888888888641</v>
      </c>
      <c r="AH116" s="872">
        <f t="shared" si="18"/>
        <v>45.827777777777847</v>
      </c>
      <c r="AI116" s="872">
        <f t="shared" si="18"/>
        <v>34.527777777777388</v>
      </c>
      <c r="AJ116" s="872">
        <f t="shared" si="18"/>
        <v>39.550000000000907</v>
      </c>
      <c r="AK116" s="872">
        <f t="shared" si="18"/>
        <v>42.688888888888641</v>
      </c>
    </row>
    <row r="117" spans="1:37" ht="13.5" thickBot="1">
      <c r="A117" s="868"/>
      <c r="B117" s="868"/>
      <c r="C117" s="868"/>
      <c r="D117" s="873">
        <f t="shared" si="12"/>
        <v>0.31666666666666604</v>
      </c>
      <c r="E117" s="872">
        <f t="shared" ref="E117:S133" si="22">E118-(E$363/360)</f>
        <v>88.66666666666822</v>
      </c>
      <c r="F117" s="872">
        <f t="shared" si="22"/>
        <v>93.733333333334542</v>
      </c>
      <c r="G117" s="872">
        <f t="shared" si="22"/>
        <v>96.89999999999975</v>
      </c>
      <c r="H117" s="872">
        <f t="shared" si="22"/>
        <v>82.33333333333178</v>
      </c>
      <c r="I117" s="872">
        <f t="shared" si="22"/>
        <v>87.399999999998229</v>
      </c>
      <c r="J117" s="872">
        <f t="shared" si="22"/>
        <v>90.566666666666009</v>
      </c>
      <c r="K117" s="872">
        <f t="shared" si="22"/>
        <v>76.000000000001222</v>
      </c>
      <c r="L117" s="872">
        <f t="shared" si="22"/>
        <v>81.066666666667288</v>
      </c>
      <c r="M117" s="872">
        <f t="shared" si="22"/>
        <v>84.233333333334656</v>
      </c>
      <c r="N117" s="872">
        <f t="shared" si="22"/>
        <v>57</v>
      </c>
      <c r="O117" s="872">
        <f t="shared" si="22"/>
        <v>62.066666666664986</v>
      </c>
      <c r="P117" s="872">
        <f t="shared" si="22"/>
        <v>65.233333333333178</v>
      </c>
      <c r="Q117" s="872">
        <f t="shared" si="22"/>
        <v>53.833333333331936</v>
      </c>
      <c r="R117" s="872">
        <f t="shared" si="22"/>
        <v>58.899999999998641</v>
      </c>
      <c r="S117" s="872">
        <f t="shared" si="22"/>
        <v>62.066666666664986</v>
      </c>
      <c r="T117" s="872">
        <f t="shared" si="21"/>
        <v>50.666666666666046</v>
      </c>
      <c r="U117" s="872">
        <f t="shared" si="20"/>
        <v>55.733333333333526</v>
      </c>
      <c r="V117" s="872">
        <f t="shared" si="20"/>
        <v>58.899999999998641</v>
      </c>
      <c r="W117" s="872">
        <f t="shared" si="20"/>
        <v>47.499999999999858</v>
      </c>
      <c r="X117" s="872">
        <f t="shared" si="20"/>
        <v>52.566666666667288</v>
      </c>
      <c r="Y117" s="872">
        <f t="shared" si="20"/>
        <v>55.733333333333526</v>
      </c>
      <c r="Z117" s="872">
        <f t="shared" si="20"/>
        <v>44.33333333333411</v>
      </c>
      <c r="AA117" s="872">
        <f t="shared" si="20"/>
        <v>49.399999999999309</v>
      </c>
      <c r="AB117" s="872">
        <f t="shared" si="20"/>
        <v>52.566666666667288</v>
      </c>
      <c r="AC117" s="872">
        <f t="shared" si="20"/>
        <v>41.16666666666589</v>
      </c>
      <c r="AD117" s="872">
        <f t="shared" si="20"/>
        <v>46.233333333333405</v>
      </c>
      <c r="AE117" s="872">
        <f t="shared" si="18"/>
        <v>49.399999999999309</v>
      </c>
      <c r="AF117" s="872">
        <f t="shared" si="18"/>
        <v>38.000000000000611</v>
      </c>
      <c r="AG117" s="872">
        <f t="shared" si="18"/>
        <v>43.066666666666421</v>
      </c>
      <c r="AH117" s="872">
        <f t="shared" si="18"/>
        <v>46.233333333333405</v>
      </c>
      <c r="AI117" s="872">
        <f t="shared" si="18"/>
        <v>34.833333333332945</v>
      </c>
      <c r="AJ117" s="872">
        <f t="shared" si="18"/>
        <v>39.900000000000908</v>
      </c>
      <c r="AK117" s="872">
        <f t="shared" si="18"/>
        <v>43.066666666666421</v>
      </c>
    </row>
    <row r="118" spans="1:37" ht="13.5" thickBot="1">
      <c r="A118" s="868"/>
      <c r="B118" s="868"/>
      <c r="C118" s="868"/>
      <c r="D118" s="873">
        <f t="shared" si="12"/>
        <v>0.31944444444444381</v>
      </c>
      <c r="E118" s="872">
        <f t="shared" si="22"/>
        <v>89.444444444445992</v>
      </c>
      <c r="F118" s="872">
        <f t="shared" si="22"/>
        <v>94.555555555556765</v>
      </c>
      <c r="G118" s="872">
        <f t="shared" si="22"/>
        <v>97.749999999999744</v>
      </c>
      <c r="H118" s="872">
        <f t="shared" si="22"/>
        <v>83.055555555554008</v>
      </c>
      <c r="I118" s="872">
        <f t="shared" si="22"/>
        <v>88.166666666664895</v>
      </c>
      <c r="J118" s="872">
        <f t="shared" si="22"/>
        <v>91.361111111110461</v>
      </c>
      <c r="K118" s="872">
        <f t="shared" si="22"/>
        <v>76.666666666667894</v>
      </c>
      <c r="L118" s="872">
        <f t="shared" si="22"/>
        <v>81.777777777778397</v>
      </c>
      <c r="M118" s="872">
        <f t="shared" si="22"/>
        <v>84.97222222222355</v>
      </c>
      <c r="N118" s="872">
        <f t="shared" si="22"/>
        <v>57.5</v>
      </c>
      <c r="O118" s="872">
        <f t="shared" si="22"/>
        <v>62.61111111110943</v>
      </c>
      <c r="P118" s="872">
        <f t="shared" si="22"/>
        <v>65.805555555555401</v>
      </c>
      <c r="Q118" s="872">
        <f t="shared" si="22"/>
        <v>54.305555555554157</v>
      </c>
      <c r="R118" s="872">
        <f t="shared" si="22"/>
        <v>59.416666666665307</v>
      </c>
      <c r="S118" s="872">
        <f t="shared" si="22"/>
        <v>62.61111111110943</v>
      </c>
      <c r="T118" s="872">
        <f t="shared" si="21"/>
        <v>51.111111111110489</v>
      </c>
      <c r="U118" s="872">
        <f t="shared" si="20"/>
        <v>56.222222222222413</v>
      </c>
      <c r="V118" s="872">
        <f t="shared" si="20"/>
        <v>59.416666666665307</v>
      </c>
      <c r="W118" s="872">
        <f t="shared" si="20"/>
        <v>47.916666666666522</v>
      </c>
      <c r="X118" s="872">
        <f t="shared" si="20"/>
        <v>53.027777777778397</v>
      </c>
      <c r="Y118" s="872">
        <f t="shared" si="20"/>
        <v>56.222222222222413</v>
      </c>
      <c r="Z118" s="872">
        <f t="shared" si="20"/>
        <v>44.722222222222996</v>
      </c>
      <c r="AA118" s="872">
        <f t="shared" si="20"/>
        <v>49.833333333332639</v>
      </c>
      <c r="AB118" s="872">
        <f t="shared" si="20"/>
        <v>53.027777777778397</v>
      </c>
      <c r="AC118" s="872">
        <f t="shared" si="20"/>
        <v>41.527777777777004</v>
      </c>
      <c r="AD118" s="872">
        <f t="shared" si="20"/>
        <v>46.638888888888964</v>
      </c>
      <c r="AE118" s="872">
        <f t="shared" si="18"/>
        <v>49.833333333332639</v>
      </c>
      <c r="AF118" s="872">
        <f t="shared" si="18"/>
        <v>38.333333333333947</v>
      </c>
      <c r="AG118" s="872">
        <f t="shared" si="18"/>
        <v>43.444444444444201</v>
      </c>
      <c r="AH118" s="872">
        <f t="shared" si="18"/>
        <v>46.638888888888964</v>
      </c>
      <c r="AI118" s="872">
        <f t="shared" si="18"/>
        <v>35.138888888888502</v>
      </c>
      <c r="AJ118" s="872">
        <f t="shared" si="18"/>
        <v>40.250000000000909</v>
      </c>
      <c r="AK118" s="872">
        <f t="shared" si="18"/>
        <v>43.444444444444201</v>
      </c>
    </row>
    <row r="119" spans="1:37" ht="13.5" thickBot="1">
      <c r="A119" s="868"/>
      <c r="B119" s="868"/>
      <c r="C119" s="868"/>
      <c r="D119" s="873">
        <f t="shared" si="12"/>
        <v>0.32222222222222158</v>
      </c>
      <c r="E119" s="872">
        <f t="shared" si="22"/>
        <v>90.222222222223763</v>
      </c>
      <c r="F119" s="872">
        <f t="shared" si="22"/>
        <v>95.377777777778988</v>
      </c>
      <c r="G119" s="872">
        <f t="shared" si="22"/>
        <v>98.599999999999739</v>
      </c>
      <c r="H119" s="872">
        <f t="shared" si="22"/>
        <v>83.777777777776237</v>
      </c>
      <c r="I119" s="872">
        <f t="shared" si="22"/>
        <v>88.933333333331561</v>
      </c>
      <c r="J119" s="872">
        <f t="shared" si="22"/>
        <v>92.155555555554912</v>
      </c>
      <c r="K119" s="872">
        <f t="shared" si="22"/>
        <v>77.333333333334565</v>
      </c>
      <c r="L119" s="872">
        <f t="shared" si="22"/>
        <v>82.488888888889505</v>
      </c>
      <c r="M119" s="872">
        <f t="shared" si="22"/>
        <v>85.711111111112444</v>
      </c>
      <c r="N119" s="872">
        <f t="shared" si="22"/>
        <v>58</v>
      </c>
      <c r="O119" s="872">
        <f t="shared" si="22"/>
        <v>63.155555555553875</v>
      </c>
      <c r="P119" s="872">
        <f t="shared" si="22"/>
        <v>66.377777777777624</v>
      </c>
      <c r="Q119" s="872">
        <f t="shared" si="22"/>
        <v>54.777777777776379</v>
      </c>
      <c r="R119" s="872">
        <f t="shared" si="22"/>
        <v>59.933333333331973</v>
      </c>
      <c r="S119" s="872">
        <f t="shared" si="22"/>
        <v>63.155555555553875</v>
      </c>
      <c r="T119" s="872">
        <f t="shared" si="21"/>
        <v>51.555555555554932</v>
      </c>
      <c r="U119" s="872">
        <f t="shared" si="20"/>
        <v>56.7111111111113</v>
      </c>
      <c r="V119" s="872">
        <f t="shared" si="20"/>
        <v>59.933333333331973</v>
      </c>
      <c r="W119" s="872">
        <f t="shared" si="20"/>
        <v>48.333333333333186</v>
      </c>
      <c r="X119" s="872">
        <f t="shared" si="20"/>
        <v>53.488888888889505</v>
      </c>
      <c r="Y119" s="872">
        <f t="shared" si="20"/>
        <v>56.7111111111113</v>
      </c>
      <c r="Z119" s="872">
        <f t="shared" si="20"/>
        <v>45.111111111111882</v>
      </c>
      <c r="AA119" s="872">
        <f t="shared" si="20"/>
        <v>50.266666666665969</v>
      </c>
      <c r="AB119" s="872">
        <f t="shared" si="20"/>
        <v>53.488888888889505</v>
      </c>
      <c r="AC119" s="872">
        <f t="shared" si="20"/>
        <v>41.888888888888118</v>
      </c>
      <c r="AD119" s="872">
        <f t="shared" si="20"/>
        <v>47.044444444444522</v>
      </c>
      <c r="AE119" s="872">
        <f t="shared" si="18"/>
        <v>50.266666666665969</v>
      </c>
      <c r="AF119" s="872">
        <f t="shared" si="18"/>
        <v>38.666666666667282</v>
      </c>
      <c r="AG119" s="872">
        <f t="shared" si="18"/>
        <v>43.822222222221981</v>
      </c>
      <c r="AH119" s="872">
        <f t="shared" si="18"/>
        <v>47.044444444444522</v>
      </c>
      <c r="AI119" s="872">
        <f t="shared" si="18"/>
        <v>35.444444444444059</v>
      </c>
      <c r="AJ119" s="872">
        <f t="shared" si="18"/>
        <v>40.600000000000911</v>
      </c>
      <c r="AK119" s="872">
        <f t="shared" si="18"/>
        <v>43.822222222221981</v>
      </c>
    </row>
    <row r="120" spans="1:37" ht="13.5" thickBot="1">
      <c r="A120" s="868"/>
      <c r="B120" s="868"/>
      <c r="C120" s="868"/>
      <c r="D120" s="873">
        <f t="shared" si="12"/>
        <v>0.32499999999999934</v>
      </c>
      <c r="E120" s="872">
        <f t="shared" si="22"/>
        <v>91.000000000001535</v>
      </c>
      <c r="F120" s="872">
        <f t="shared" si="22"/>
        <v>96.200000000001211</v>
      </c>
      <c r="G120" s="872">
        <f t="shared" si="22"/>
        <v>99.449999999999733</v>
      </c>
      <c r="H120" s="872">
        <f t="shared" si="22"/>
        <v>84.499999999998465</v>
      </c>
      <c r="I120" s="872">
        <f t="shared" si="22"/>
        <v>89.699999999998226</v>
      </c>
      <c r="J120" s="872">
        <f t="shared" si="22"/>
        <v>92.949999999999363</v>
      </c>
      <c r="K120" s="872">
        <f t="shared" si="22"/>
        <v>78.000000000001236</v>
      </c>
      <c r="L120" s="872">
        <f t="shared" si="22"/>
        <v>83.200000000000614</v>
      </c>
      <c r="M120" s="872">
        <f t="shared" si="22"/>
        <v>86.450000000001339</v>
      </c>
      <c r="N120" s="872">
        <f t="shared" si="22"/>
        <v>58.5</v>
      </c>
      <c r="O120" s="872">
        <f t="shared" si="22"/>
        <v>63.699999999998319</v>
      </c>
      <c r="P120" s="872">
        <f t="shared" si="22"/>
        <v>66.949999999999847</v>
      </c>
      <c r="Q120" s="872">
        <f t="shared" si="22"/>
        <v>55.2499999999986</v>
      </c>
      <c r="R120" s="872">
        <f t="shared" si="22"/>
        <v>60.449999999998639</v>
      </c>
      <c r="S120" s="872">
        <f t="shared" si="22"/>
        <v>63.699999999998319</v>
      </c>
      <c r="T120" s="872">
        <f t="shared" si="21"/>
        <v>51.999999999999375</v>
      </c>
      <c r="U120" s="872">
        <f t="shared" si="20"/>
        <v>57.200000000000188</v>
      </c>
      <c r="V120" s="872">
        <f t="shared" si="20"/>
        <v>60.449999999998639</v>
      </c>
      <c r="W120" s="872">
        <f t="shared" si="20"/>
        <v>48.749999999999851</v>
      </c>
      <c r="X120" s="872">
        <f t="shared" si="20"/>
        <v>53.950000000000614</v>
      </c>
      <c r="Y120" s="872">
        <f t="shared" si="20"/>
        <v>57.200000000000188</v>
      </c>
      <c r="Z120" s="872">
        <f t="shared" si="20"/>
        <v>45.500000000000767</v>
      </c>
      <c r="AA120" s="872">
        <f t="shared" si="20"/>
        <v>50.699999999999299</v>
      </c>
      <c r="AB120" s="872">
        <f t="shared" si="20"/>
        <v>53.950000000000614</v>
      </c>
      <c r="AC120" s="872">
        <f t="shared" si="20"/>
        <v>42.249999999999233</v>
      </c>
      <c r="AD120" s="872">
        <f t="shared" si="20"/>
        <v>47.450000000000081</v>
      </c>
      <c r="AE120" s="872">
        <f t="shared" si="18"/>
        <v>50.699999999999299</v>
      </c>
      <c r="AF120" s="872">
        <f t="shared" si="18"/>
        <v>39.000000000000618</v>
      </c>
      <c r="AG120" s="872">
        <f t="shared" si="18"/>
        <v>44.199999999999761</v>
      </c>
      <c r="AH120" s="872">
        <f t="shared" si="18"/>
        <v>47.450000000000081</v>
      </c>
      <c r="AI120" s="872">
        <f t="shared" si="18"/>
        <v>35.749999999999616</v>
      </c>
      <c r="AJ120" s="872">
        <f t="shared" si="18"/>
        <v>40.950000000000912</v>
      </c>
      <c r="AK120" s="872">
        <f t="shared" si="18"/>
        <v>44.199999999999761</v>
      </c>
    </row>
    <row r="121" spans="1:37" ht="13.5" thickBot="1">
      <c r="A121" s="868"/>
      <c r="B121" s="868"/>
      <c r="C121" s="868"/>
      <c r="D121" s="873">
        <f t="shared" si="12"/>
        <v>0.32777777777777711</v>
      </c>
      <c r="E121" s="872">
        <f t="shared" si="22"/>
        <v>91.777777777779306</v>
      </c>
      <c r="F121" s="872">
        <f t="shared" si="22"/>
        <v>97.022222222223434</v>
      </c>
      <c r="G121" s="872">
        <f t="shared" si="22"/>
        <v>100.29999999999973</v>
      </c>
      <c r="H121" s="872">
        <f t="shared" si="22"/>
        <v>85.222222222220694</v>
      </c>
      <c r="I121" s="872">
        <f t="shared" si="22"/>
        <v>90.466666666664892</v>
      </c>
      <c r="J121" s="872">
        <f t="shared" si="22"/>
        <v>93.744444444443815</v>
      </c>
      <c r="K121" s="872">
        <f t="shared" si="22"/>
        <v>78.666666666667908</v>
      </c>
      <c r="L121" s="872">
        <f t="shared" si="22"/>
        <v>83.911111111111722</v>
      </c>
      <c r="M121" s="872">
        <f t="shared" si="22"/>
        <v>87.188888888890233</v>
      </c>
      <c r="N121" s="872">
        <f t="shared" si="22"/>
        <v>59</v>
      </c>
      <c r="O121" s="872">
        <f t="shared" si="22"/>
        <v>64.244444444442763</v>
      </c>
      <c r="P121" s="872">
        <f t="shared" si="22"/>
        <v>67.522222222222069</v>
      </c>
      <c r="Q121" s="872">
        <f t="shared" si="22"/>
        <v>55.722222222220822</v>
      </c>
      <c r="R121" s="872">
        <f t="shared" si="22"/>
        <v>60.966666666665304</v>
      </c>
      <c r="S121" s="872">
        <f t="shared" si="22"/>
        <v>64.244444444442763</v>
      </c>
      <c r="T121" s="872">
        <f t="shared" si="21"/>
        <v>52.444444444443818</v>
      </c>
      <c r="U121" s="872">
        <f t="shared" si="20"/>
        <v>57.688888888889075</v>
      </c>
      <c r="V121" s="872">
        <f t="shared" si="20"/>
        <v>60.966666666665304</v>
      </c>
      <c r="W121" s="872">
        <f t="shared" si="20"/>
        <v>49.166666666666515</v>
      </c>
      <c r="X121" s="872">
        <f t="shared" si="20"/>
        <v>54.411111111111722</v>
      </c>
      <c r="Y121" s="872">
        <f t="shared" si="20"/>
        <v>57.688888888889075</v>
      </c>
      <c r="Z121" s="872">
        <f t="shared" si="20"/>
        <v>45.888888888889653</v>
      </c>
      <c r="AA121" s="872">
        <f t="shared" si="20"/>
        <v>51.133333333332629</v>
      </c>
      <c r="AB121" s="872">
        <f t="shared" si="20"/>
        <v>54.411111111111722</v>
      </c>
      <c r="AC121" s="872">
        <f t="shared" si="20"/>
        <v>42.611111111110347</v>
      </c>
      <c r="AD121" s="872">
        <f t="shared" si="20"/>
        <v>47.85555555555564</v>
      </c>
      <c r="AE121" s="872">
        <f t="shared" si="18"/>
        <v>51.133333333332629</v>
      </c>
      <c r="AF121" s="872">
        <f t="shared" si="18"/>
        <v>39.333333333333954</v>
      </c>
      <c r="AG121" s="872">
        <f t="shared" si="18"/>
        <v>44.577777777777541</v>
      </c>
      <c r="AH121" s="872">
        <f t="shared" si="18"/>
        <v>47.85555555555564</v>
      </c>
      <c r="AI121" s="872">
        <f t="shared" si="18"/>
        <v>36.055555555555173</v>
      </c>
      <c r="AJ121" s="872">
        <f t="shared" si="18"/>
        <v>41.300000000000914</v>
      </c>
      <c r="AK121" s="872">
        <f t="shared" si="18"/>
        <v>44.577777777777541</v>
      </c>
    </row>
    <row r="122" spans="1:37" ht="13.5" thickBot="1">
      <c r="A122" s="868"/>
      <c r="B122" s="868"/>
      <c r="C122" s="868"/>
      <c r="D122" s="873">
        <f t="shared" si="12"/>
        <v>0.33055555555555488</v>
      </c>
      <c r="E122" s="872">
        <f t="shared" si="22"/>
        <v>92.555555555557078</v>
      </c>
      <c r="F122" s="872">
        <f t="shared" si="22"/>
        <v>97.844444444445656</v>
      </c>
      <c r="G122" s="872">
        <f t="shared" si="22"/>
        <v>101.14999999999972</v>
      </c>
      <c r="H122" s="872">
        <f t="shared" si="22"/>
        <v>85.944444444442922</v>
      </c>
      <c r="I122" s="872">
        <f t="shared" si="22"/>
        <v>91.233333333331558</v>
      </c>
      <c r="J122" s="872">
        <f t="shared" si="22"/>
        <v>94.538888888888266</v>
      </c>
      <c r="K122" s="872">
        <f t="shared" si="22"/>
        <v>79.333333333334579</v>
      </c>
      <c r="L122" s="872">
        <f t="shared" si="22"/>
        <v>84.622222222222831</v>
      </c>
      <c r="M122" s="872">
        <f t="shared" si="22"/>
        <v>87.927777777779127</v>
      </c>
      <c r="N122" s="872">
        <f t="shared" si="22"/>
        <v>59.5</v>
      </c>
      <c r="O122" s="872">
        <f t="shared" si="22"/>
        <v>64.788888888887215</v>
      </c>
      <c r="P122" s="872">
        <f t="shared" si="22"/>
        <v>68.094444444444292</v>
      </c>
      <c r="Q122" s="872">
        <f t="shared" si="22"/>
        <v>56.194444444443043</v>
      </c>
      <c r="R122" s="872">
        <f t="shared" si="22"/>
        <v>61.48333333333197</v>
      </c>
      <c r="S122" s="872">
        <f t="shared" si="22"/>
        <v>64.788888888887215</v>
      </c>
      <c r="T122" s="872">
        <f t="shared" si="21"/>
        <v>52.88888888888826</v>
      </c>
      <c r="U122" s="872">
        <f t="shared" si="20"/>
        <v>58.177777777777962</v>
      </c>
      <c r="V122" s="872">
        <f t="shared" si="20"/>
        <v>61.48333333333197</v>
      </c>
      <c r="W122" s="872">
        <f t="shared" si="20"/>
        <v>49.583333333333179</v>
      </c>
      <c r="X122" s="872">
        <f t="shared" si="20"/>
        <v>54.872222222222831</v>
      </c>
      <c r="Y122" s="872">
        <f t="shared" si="20"/>
        <v>58.177777777777962</v>
      </c>
      <c r="Z122" s="872">
        <f t="shared" si="20"/>
        <v>46.277777777778539</v>
      </c>
      <c r="AA122" s="872">
        <f t="shared" si="20"/>
        <v>51.566666666665959</v>
      </c>
      <c r="AB122" s="872">
        <f t="shared" si="20"/>
        <v>54.872222222222831</v>
      </c>
      <c r="AC122" s="872">
        <f t="shared" si="20"/>
        <v>42.972222222221461</v>
      </c>
      <c r="AD122" s="872">
        <f t="shared" si="20"/>
        <v>48.261111111111198</v>
      </c>
      <c r="AE122" s="872">
        <f t="shared" si="18"/>
        <v>51.566666666665959</v>
      </c>
      <c r="AF122" s="872">
        <f t="shared" si="18"/>
        <v>39.66666666666729</v>
      </c>
      <c r="AG122" s="872">
        <f t="shared" si="18"/>
        <v>44.955555555555321</v>
      </c>
      <c r="AH122" s="872">
        <f t="shared" si="18"/>
        <v>48.261111111111198</v>
      </c>
      <c r="AI122" s="872">
        <f t="shared" si="18"/>
        <v>36.361111111110731</v>
      </c>
      <c r="AJ122" s="872">
        <f t="shared" si="18"/>
        <v>41.650000000000915</v>
      </c>
      <c r="AK122" s="872">
        <f t="shared" si="18"/>
        <v>44.955555555555321</v>
      </c>
    </row>
    <row r="123" spans="1:37" ht="13.5" thickBot="1">
      <c r="A123" s="868"/>
      <c r="B123" s="868"/>
      <c r="C123" s="868"/>
      <c r="D123" s="873">
        <f t="shared" si="12"/>
        <v>0.33333333333333265</v>
      </c>
      <c r="E123" s="872">
        <f t="shared" si="22"/>
        <v>93.333333333334849</v>
      </c>
      <c r="F123" s="872">
        <f t="shared" si="22"/>
        <v>98.666666666667879</v>
      </c>
      <c r="G123" s="872">
        <f t="shared" si="22"/>
        <v>101.99999999999972</v>
      </c>
      <c r="H123" s="872">
        <f t="shared" si="22"/>
        <v>86.666666666665151</v>
      </c>
      <c r="I123" s="872">
        <f t="shared" si="22"/>
        <v>91.999999999998224</v>
      </c>
      <c r="J123" s="872">
        <f t="shared" si="22"/>
        <v>95.333333333332718</v>
      </c>
      <c r="K123" s="872">
        <f t="shared" si="22"/>
        <v>80.000000000001251</v>
      </c>
      <c r="L123" s="872">
        <f t="shared" si="22"/>
        <v>85.33333333333394</v>
      </c>
      <c r="M123" s="872">
        <f t="shared" si="22"/>
        <v>88.666666666668021</v>
      </c>
      <c r="N123" s="872">
        <f t="shared" si="22"/>
        <v>60</v>
      </c>
      <c r="O123" s="872">
        <f t="shared" si="22"/>
        <v>65.333333333331666</v>
      </c>
      <c r="P123" s="872">
        <f t="shared" si="22"/>
        <v>68.666666666666515</v>
      </c>
      <c r="Q123" s="872">
        <f t="shared" si="22"/>
        <v>56.666666666665265</v>
      </c>
      <c r="R123" s="872">
        <f t="shared" si="22"/>
        <v>61.999999999998636</v>
      </c>
      <c r="S123" s="872">
        <f t="shared" si="22"/>
        <v>65.333333333331666</v>
      </c>
      <c r="T123" s="872">
        <f t="shared" si="21"/>
        <v>53.333333333332703</v>
      </c>
      <c r="U123" s="872">
        <f t="shared" si="20"/>
        <v>58.666666666666849</v>
      </c>
      <c r="V123" s="872">
        <f t="shared" si="20"/>
        <v>61.999999999998636</v>
      </c>
      <c r="W123" s="872">
        <f t="shared" si="20"/>
        <v>49.999999999999844</v>
      </c>
      <c r="X123" s="872">
        <f t="shared" si="20"/>
        <v>55.33333333333394</v>
      </c>
      <c r="Y123" s="872">
        <f t="shared" si="20"/>
        <v>58.666666666666849</v>
      </c>
      <c r="Z123" s="872">
        <f t="shared" si="20"/>
        <v>46.666666666667425</v>
      </c>
      <c r="AA123" s="872">
        <f t="shared" si="20"/>
        <v>51.999999999999289</v>
      </c>
      <c r="AB123" s="872">
        <f t="shared" si="20"/>
        <v>55.33333333333394</v>
      </c>
      <c r="AC123" s="872">
        <f t="shared" si="20"/>
        <v>43.333333333332575</v>
      </c>
      <c r="AD123" s="872">
        <f t="shared" si="20"/>
        <v>48.666666666666757</v>
      </c>
      <c r="AE123" s="872">
        <f t="shared" si="18"/>
        <v>51.999999999999289</v>
      </c>
      <c r="AF123" s="872">
        <f t="shared" si="18"/>
        <v>40.000000000000625</v>
      </c>
      <c r="AG123" s="872">
        <f t="shared" si="18"/>
        <v>45.333333333333101</v>
      </c>
      <c r="AH123" s="872">
        <f t="shared" si="18"/>
        <v>48.666666666666757</v>
      </c>
      <c r="AI123" s="872">
        <f t="shared" si="18"/>
        <v>36.666666666666288</v>
      </c>
      <c r="AJ123" s="872">
        <f t="shared" si="18"/>
        <v>42.000000000000917</v>
      </c>
      <c r="AK123" s="872">
        <f t="shared" si="18"/>
        <v>45.333333333333101</v>
      </c>
    </row>
    <row r="124" spans="1:37" ht="13.5" thickBot="1">
      <c r="A124" s="868"/>
      <c r="B124" s="868"/>
      <c r="C124" s="868"/>
      <c r="D124" s="873">
        <f t="shared" si="12"/>
        <v>0.33611111111111042</v>
      </c>
      <c r="E124" s="872">
        <f t="shared" si="22"/>
        <v>94.111111111112621</v>
      </c>
      <c r="F124" s="872">
        <f t="shared" si="22"/>
        <v>99.488888888890102</v>
      </c>
      <c r="G124" s="872">
        <f t="shared" si="22"/>
        <v>102.84999999999971</v>
      </c>
      <c r="H124" s="872">
        <f t="shared" si="22"/>
        <v>87.388888888887379</v>
      </c>
      <c r="I124" s="872">
        <f t="shared" si="22"/>
        <v>92.766666666664889</v>
      </c>
      <c r="J124" s="872">
        <f t="shared" si="22"/>
        <v>96.127777777777169</v>
      </c>
      <c r="K124" s="872">
        <f t="shared" si="22"/>
        <v>80.666666666667922</v>
      </c>
      <c r="L124" s="872">
        <f t="shared" si="22"/>
        <v>86.044444444445048</v>
      </c>
      <c r="M124" s="872">
        <f t="shared" si="22"/>
        <v>89.405555555556916</v>
      </c>
      <c r="N124" s="872">
        <f t="shared" si="22"/>
        <v>60.5</v>
      </c>
      <c r="O124" s="872">
        <f t="shared" si="22"/>
        <v>65.877777777776117</v>
      </c>
      <c r="P124" s="872">
        <f t="shared" si="22"/>
        <v>69.238888888888738</v>
      </c>
      <c r="Q124" s="872">
        <f t="shared" si="22"/>
        <v>57.138888888887486</v>
      </c>
      <c r="R124" s="872">
        <f t="shared" si="22"/>
        <v>62.516666666665301</v>
      </c>
      <c r="S124" s="872">
        <f t="shared" si="22"/>
        <v>65.877777777776117</v>
      </c>
      <c r="T124" s="872">
        <f t="shared" si="21"/>
        <v>53.777777777777146</v>
      </c>
      <c r="U124" s="872">
        <f t="shared" si="20"/>
        <v>59.155555555555736</v>
      </c>
      <c r="V124" s="872">
        <f t="shared" si="20"/>
        <v>62.516666666665301</v>
      </c>
      <c r="W124" s="872">
        <f t="shared" si="20"/>
        <v>50.416666666666508</v>
      </c>
      <c r="X124" s="872">
        <f t="shared" si="20"/>
        <v>55.794444444445048</v>
      </c>
      <c r="Y124" s="872">
        <f t="shared" si="20"/>
        <v>59.155555555555736</v>
      </c>
      <c r="Z124" s="872">
        <f t="shared" si="20"/>
        <v>47.05555555555631</v>
      </c>
      <c r="AA124" s="872">
        <f t="shared" si="20"/>
        <v>52.433333333332619</v>
      </c>
      <c r="AB124" s="872">
        <f t="shared" si="20"/>
        <v>55.794444444445048</v>
      </c>
      <c r="AC124" s="872">
        <f t="shared" si="20"/>
        <v>43.69444444444369</v>
      </c>
      <c r="AD124" s="872">
        <f t="shared" si="20"/>
        <v>49.072222222222315</v>
      </c>
      <c r="AE124" s="872">
        <f t="shared" si="18"/>
        <v>52.433333333332619</v>
      </c>
      <c r="AF124" s="872">
        <f t="shared" si="18"/>
        <v>40.333333333333961</v>
      </c>
      <c r="AG124" s="872">
        <f t="shared" si="18"/>
        <v>45.711111111110881</v>
      </c>
      <c r="AH124" s="872">
        <f t="shared" si="18"/>
        <v>49.072222222222315</v>
      </c>
      <c r="AI124" s="872">
        <f t="shared" si="18"/>
        <v>36.972222222221845</v>
      </c>
      <c r="AJ124" s="872">
        <f t="shared" si="18"/>
        <v>42.350000000000918</v>
      </c>
      <c r="AK124" s="872">
        <f t="shared" si="18"/>
        <v>45.711111111110881</v>
      </c>
    </row>
    <row r="125" spans="1:37" ht="13.5" thickBot="1">
      <c r="A125" s="868"/>
      <c r="B125" s="868"/>
      <c r="C125" s="868"/>
      <c r="D125" s="873">
        <f t="shared" si="12"/>
        <v>0.33888888888888818</v>
      </c>
      <c r="E125" s="872">
        <f t="shared" si="22"/>
        <v>94.888888888890392</v>
      </c>
      <c r="F125" s="872">
        <f t="shared" si="22"/>
        <v>100.31111111111233</v>
      </c>
      <c r="G125" s="872">
        <f t="shared" si="22"/>
        <v>103.6999999999997</v>
      </c>
      <c r="H125" s="872">
        <f t="shared" si="22"/>
        <v>88.111111111109608</v>
      </c>
      <c r="I125" s="872">
        <f t="shared" si="22"/>
        <v>93.533333333331555</v>
      </c>
      <c r="J125" s="872">
        <f t="shared" si="22"/>
        <v>96.92222222222162</v>
      </c>
      <c r="K125" s="872">
        <f t="shared" si="22"/>
        <v>81.333333333334593</v>
      </c>
      <c r="L125" s="872">
        <f t="shared" si="22"/>
        <v>86.755555555556157</v>
      </c>
      <c r="M125" s="872">
        <f t="shared" si="22"/>
        <v>90.14444444444581</v>
      </c>
      <c r="N125" s="872">
        <f t="shared" si="22"/>
        <v>61</v>
      </c>
      <c r="O125" s="872">
        <f t="shared" si="22"/>
        <v>66.422222222220569</v>
      </c>
      <c r="P125" s="872">
        <f t="shared" si="22"/>
        <v>69.811111111110961</v>
      </c>
      <c r="Q125" s="872">
        <f t="shared" si="22"/>
        <v>57.611111111109707</v>
      </c>
      <c r="R125" s="872">
        <f t="shared" si="22"/>
        <v>63.033333333331967</v>
      </c>
      <c r="S125" s="872">
        <f t="shared" si="22"/>
        <v>66.422222222220569</v>
      </c>
      <c r="T125" s="872">
        <f t="shared" si="21"/>
        <v>54.222222222221589</v>
      </c>
      <c r="U125" s="872">
        <f t="shared" si="20"/>
        <v>59.644444444444623</v>
      </c>
      <c r="V125" s="872">
        <f t="shared" si="20"/>
        <v>63.033333333331967</v>
      </c>
      <c r="W125" s="872">
        <f t="shared" si="20"/>
        <v>50.833333333333172</v>
      </c>
      <c r="X125" s="872">
        <f t="shared" si="20"/>
        <v>56.255555555556157</v>
      </c>
      <c r="Y125" s="872">
        <f t="shared" si="20"/>
        <v>59.644444444444623</v>
      </c>
      <c r="Z125" s="872">
        <f t="shared" si="20"/>
        <v>47.444444444445196</v>
      </c>
      <c r="AA125" s="872">
        <f t="shared" si="20"/>
        <v>52.866666666665949</v>
      </c>
      <c r="AB125" s="872">
        <f t="shared" si="20"/>
        <v>56.255555555556157</v>
      </c>
      <c r="AC125" s="872">
        <f t="shared" si="20"/>
        <v>44.055555555554804</v>
      </c>
      <c r="AD125" s="872">
        <f t="shared" si="20"/>
        <v>49.477777777777874</v>
      </c>
      <c r="AE125" s="872">
        <f t="shared" si="18"/>
        <v>52.866666666665949</v>
      </c>
      <c r="AF125" s="872">
        <f t="shared" si="18"/>
        <v>40.666666666667297</v>
      </c>
      <c r="AG125" s="872">
        <f t="shared" si="18"/>
        <v>46.088888888888661</v>
      </c>
      <c r="AH125" s="872">
        <f t="shared" si="18"/>
        <v>49.477777777777874</v>
      </c>
      <c r="AI125" s="872">
        <f t="shared" si="18"/>
        <v>37.277777777777402</v>
      </c>
      <c r="AJ125" s="872">
        <f t="shared" si="18"/>
        <v>42.700000000000919</v>
      </c>
      <c r="AK125" s="872">
        <f t="shared" si="18"/>
        <v>46.088888888888661</v>
      </c>
    </row>
    <row r="126" spans="1:37" ht="13.5" thickBot="1">
      <c r="A126" s="868"/>
      <c r="B126" s="868"/>
      <c r="C126" s="868"/>
      <c r="D126" s="873">
        <f t="shared" si="12"/>
        <v>0.34166666666666595</v>
      </c>
      <c r="E126" s="872">
        <f t="shared" si="22"/>
        <v>95.666666666668164</v>
      </c>
      <c r="F126" s="872">
        <f t="shared" si="22"/>
        <v>101.13333333333455</v>
      </c>
      <c r="G126" s="872">
        <f t="shared" si="22"/>
        <v>104.5499999999997</v>
      </c>
      <c r="H126" s="872">
        <f t="shared" si="22"/>
        <v>88.833333333331836</v>
      </c>
      <c r="I126" s="872">
        <f t="shared" si="22"/>
        <v>94.299999999998221</v>
      </c>
      <c r="J126" s="872">
        <f t="shared" si="22"/>
        <v>97.716666666666072</v>
      </c>
      <c r="K126" s="872">
        <f t="shared" si="22"/>
        <v>82.000000000001265</v>
      </c>
      <c r="L126" s="872">
        <f t="shared" si="22"/>
        <v>87.466666666667265</v>
      </c>
      <c r="M126" s="872">
        <f t="shared" si="22"/>
        <v>90.883333333334704</v>
      </c>
      <c r="N126" s="872">
        <f t="shared" si="22"/>
        <v>61.5</v>
      </c>
      <c r="O126" s="872">
        <f t="shared" si="22"/>
        <v>66.96666666666502</v>
      </c>
      <c r="P126" s="872">
        <f t="shared" si="22"/>
        <v>70.383333333333184</v>
      </c>
      <c r="Q126" s="872">
        <f t="shared" si="22"/>
        <v>58.083333333331929</v>
      </c>
      <c r="R126" s="872">
        <f t="shared" si="22"/>
        <v>63.549999999998633</v>
      </c>
      <c r="S126" s="872">
        <f t="shared" si="22"/>
        <v>66.96666666666502</v>
      </c>
      <c r="T126" s="872">
        <f t="shared" si="21"/>
        <v>54.666666666666032</v>
      </c>
      <c r="U126" s="872">
        <f t="shared" si="20"/>
        <v>60.13333333333351</v>
      </c>
      <c r="V126" s="872">
        <f t="shared" si="20"/>
        <v>63.549999999998633</v>
      </c>
      <c r="W126" s="872">
        <f t="shared" si="20"/>
        <v>51.249999999999837</v>
      </c>
      <c r="X126" s="872">
        <f t="shared" si="20"/>
        <v>56.716666666667265</v>
      </c>
      <c r="Y126" s="872">
        <f t="shared" si="20"/>
        <v>60.13333333333351</v>
      </c>
      <c r="Z126" s="872">
        <f t="shared" si="20"/>
        <v>47.833333333334082</v>
      </c>
      <c r="AA126" s="872">
        <f t="shared" si="20"/>
        <v>53.29999999999928</v>
      </c>
      <c r="AB126" s="872">
        <f t="shared" si="20"/>
        <v>56.716666666667265</v>
      </c>
      <c r="AC126" s="872">
        <f t="shared" si="20"/>
        <v>44.416666666665918</v>
      </c>
      <c r="AD126" s="872">
        <f t="shared" si="20"/>
        <v>49.883333333333432</v>
      </c>
      <c r="AE126" s="872">
        <f t="shared" si="18"/>
        <v>53.29999999999928</v>
      </c>
      <c r="AF126" s="872">
        <f t="shared" si="18"/>
        <v>41.000000000000632</v>
      </c>
      <c r="AG126" s="872">
        <f t="shared" si="18"/>
        <v>46.466666666666441</v>
      </c>
      <c r="AH126" s="872">
        <f t="shared" si="18"/>
        <v>49.883333333333432</v>
      </c>
      <c r="AI126" s="872">
        <f t="shared" si="18"/>
        <v>37.583333333332959</v>
      </c>
      <c r="AJ126" s="872">
        <f t="shared" si="18"/>
        <v>43.050000000000921</v>
      </c>
      <c r="AK126" s="872">
        <f t="shared" si="18"/>
        <v>46.466666666666441</v>
      </c>
    </row>
    <row r="127" spans="1:37" ht="13.5" thickBot="1">
      <c r="A127" s="868"/>
      <c r="B127" s="868"/>
      <c r="C127" s="868"/>
      <c r="D127" s="873">
        <f t="shared" si="12"/>
        <v>0.34444444444444372</v>
      </c>
      <c r="E127" s="872">
        <f t="shared" si="22"/>
        <v>96.444444444445935</v>
      </c>
      <c r="F127" s="872">
        <f t="shared" si="22"/>
        <v>101.95555555555677</v>
      </c>
      <c r="G127" s="872">
        <f t="shared" si="22"/>
        <v>105.39999999999969</v>
      </c>
      <c r="H127" s="872">
        <f t="shared" si="22"/>
        <v>89.555555555554065</v>
      </c>
      <c r="I127" s="872">
        <f t="shared" si="22"/>
        <v>95.066666666664887</v>
      </c>
      <c r="J127" s="872">
        <f t="shared" si="22"/>
        <v>98.511111111110523</v>
      </c>
      <c r="K127" s="872">
        <f t="shared" si="22"/>
        <v>82.666666666667936</v>
      </c>
      <c r="L127" s="872">
        <f t="shared" si="22"/>
        <v>88.177777777778374</v>
      </c>
      <c r="M127" s="872">
        <f t="shared" si="22"/>
        <v>91.622222222223598</v>
      </c>
      <c r="N127" s="872">
        <f t="shared" si="22"/>
        <v>62</v>
      </c>
      <c r="O127" s="872">
        <f t="shared" si="22"/>
        <v>67.511111111109471</v>
      </c>
      <c r="P127" s="872">
        <f t="shared" si="22"/>
        <v>70.955555555555406</v>
      </c>
      <c r="Q127" s="872">
        <f t="shared" si="22"/>
        <v>58.55555555555415</v>
      </c>
      <c r="R127" s="872">
        <f t="shared" si="22"/>
        <v>64.066666666665299</v>
      </c>
      <c r="S127" s="872">
        <f t="shared" si="22"/>
        <v>67.511111111109471</v>
      </c>
      <c r="T127" s="872">
        <f t="shared" si="21"/>
        <v>55.111111111110475</v>
      </c>
      <c r="U127" s="872">
        <f t="shared" si="20"/>
        <v>60.622222222222398</v>
      </c>
      <c r="V127" s="872">
        <f t="shared" si="20"/>
        <v>64.066666666665299</v>
      </c>
      <c r="W127" s="872">
        <f t="shared" si="20"/>
        <v>51.666666666666501</v>
      </c>
      <c r="X127" s="872">
        <f t="shared" si="20"/>
        <v>57.177777777778374</v>
      </c>
      <c r="Y127" s="872">
        <f t="shared" si="20"/>
        <v>60.622222222222398</v>
      </c>
      <c r="Z127" s="872">
        <f t="shared" si="20"/>
        <v>48.222222222222968</v>
      </c>
      <c r="AA127" s="872">
        <f t="shared" si="20"/>
        <v>53.73333333333261</v>
      </c>
      <c r="AB127" s="872">
        <f t="shared" si="20"/>
        <v>57.177777777778374</v>
      </c>
      <c r="AC127" s="872">
        <f t="shared" si="20"/>
        <v>44.777777777777032</v>
      </c>
      <c r="AD127" s="872">
        <f t="shared" si="20"/>
        <v>50.288888888888991</v>
      </c>
      <c r="AE127" s="872">
        <f t="shared" si="18"/>
        <v>53.73333333333261</v>
      </c>
      <c r="AF127" s="872">
        <f t="shared" si="18"/>
        <v>41.333333333333968</v>
      </c>
      <c r="AG127" s="872">
        <f t="shared" si="18"/>
        <v>46.844444444444221</v>
      </c>
      <c r="AH127" s="872">
        <f t="shared" si="18"/>
        <v>50.288888888888991</v>
      </c>
      <c r="AI127" s="872">
        <f t="shared" si="18"/>
        <v>37.888888888888516</v>
      </c>
      <c r="AJ127" s="872">
        <f t="shared" si="18"/>
        <v>43.400000000000922</v>
      </c>
      <c r="AK127" s="872">
        <f t="shared" si="18"/>
        <v>46.844444444444221</v>
      </c>
    </row>
    <row r="128" spans="1:37" ht="13.5" thickBot="1">
      <c r="A128" s="868"/>
      <c r="B128" s="868"/>
      <c r="C128" s="868"/>
      <c r="D128" s="873">
        <f t="shared" si="12"/>
        <v>0.34722222222222149</v>
      </c>
      <c r="E128" s="872">
        <f t="shared" si="22"/>
        <v>97.222222222223706</v>
      </c>
      <c r="F128" s="872">
        <f t="shared" si="22"/>
        <v>102.77777777777899</v>
      </c>
      <c r="G128" s="872">
        <f t="shared" si="22"/>
        <v>106.24999999999969</v>
      </c>
      <c r="H128" s="872">
        <f t="shared" si="22"/>
        <v>90.277777777776294</v>
      </c>
      <c r="I128" s="872">
        <f t="shared" si="22"/>
        <v>95.833333333331552</v>
      </c>
      <c r="J128" s="872">
        <f t="shared" si="22"/>
        <v>99.305555555554974</v>
      </c>
      <c r="K128" s="872">
        <f t="shared" si="22"/>
        <v>83.333333333334608</v>
      </c>
      <c r="L128" s="872">
        <f t="shared" si="22"/>
        <v>88.888888888889483</v>
      </c>
      <c r="M128" s="872">
        <f t="shared" si="22"/>
        <v>92.361111111112493</v>
      </c>
      <c r="N128" s="872">
        <f t="shared" si="22"/>
        <v>62.5</v>
      </c>
      <c r="O128" s="872">
        <f t="shared" si="22"/>
        <v>68.055555555553923</v>
      </c>
      <c r="P128" s="872">
        <f t="shared" si="22"/>
        <v>71.527777777777629</v>
      </c>
      <c r="Q128" s="872">
        <f t="shared" si="22"/>
        <v>59.027777777776372</v>
      </c>
      <c r="R128" s="872">
        <f t="shared" si="22"/>
        <v>64.583333333331964</v>
      </c>
      <c r="S128" s="872">
        <f t="shared" si="22"/>
        <v>68.055555555553923</v>
      </c>
      <c r="T128" s="872">
        <f t="shared" si="21"/>
        <v>55.555555555554918</v>
      </c>
      <c r="U128" s="872">
        <f t="shared" si="20"/>
        <v>61.111111111111285</v>
      </c>
      <c r="V128" s="872">
        <f t="shared" si="20"/>
        <v>64.583333333331964</v>
      </c>
      <c r="W128" s="872">
        <f t="shared" si="20"/>
        <v>52.083333333333165</v>
      </c>
      <c r="X128" s="872">
        <f t="shared" si="20"/>
        <v>57.638888888889483</v>
      </c>
      <c r="Y128" s="872">
        <f t="shared" si="20"/>
        <v>61.111111111111285</v>
      </c>
      <c r="Z128" s="872">
        <f t="shared" si="20"/>
        <v>48.611111111111853</v>
      </c>
      <c r="AA128" s="872">
        <f t="shared" si="20"/>
        <v>54.16666666666594</v>
      </c>
      <c r="AB128" s="872">
        <f t="shared" si="20"/>
        <v>57.638888888889483</v>
      </c>
      <c r="AC128" s="872">
        <f t="shared" si="20"/>
        <v>45.138888888888147</v>
      </c>
      <c r="AD128" s="872">
        <f t="shared" si="20"/>
        <v>50.694444444444549</v>
      </c>
      <c r="AE128" s="872">
        <f t="shared" si="18"/>
        <v>54.16666666666594</v>
      </c>
      <c r="AF128" s="872">
        <f t="shared" si="18"/>
        <v>41.666666666667304</v>
      </c>
      <c r="AG128" s="872">
        <f t="shared" si="18"/>
        <v>47.222222222222001</v>
      </c>
      <c r="AH128" s="872">
        <f t="shared" si="18"/>
        <v>50.694444444444549</v>
      </c>
      <c r="AI128" s="872">
        <f t="shared" si="18"/>
        <v>38.194444444444073</v>
      </c>
      <c r="AJ128" s="872">
        <f t="shared" si="18"/>
        <v>43.750000000000924</v>
      </c>
      <c r="AK128" s="872">
        <f t="shared" si="18"/>
        <v>47.222222222222001</v>
      </c>
    </row>
    <row r="129" spans="1:37" ht="13.5" thickBot="1">
      <c r="A129" s="868"/>
      <c r="B129" s="868"/>
      <c r="C129" s="868"/>
      <c r="D129" s="873">
        <f t="shared" si="12"/>
        <v>0.34999999999999926</v>
      </c>
      <c r="E129" s="872">
        <f t="shared" si="22"/>
        <v>98.000000000001478</v>
      </c>
      <c r="F129" s="872">
        <f t="shared" si="22"/>
        <v>103.60000000000122</v>
      </c>
      <c r="G129" s="872">
        <f t="shared" si="22"/>
        <v>107.09999999999968</v>
      </c>
      <c r="H129" s="872">
        <f t="shared" si="22"/>
        <v>90.999999999998522</v>
      </c>
      <c r="I129" s="872">
        <f t="shared" si="22"/>
        <v>96.599999999998218</v>
      </c>
      <c r="J129" s="872">
        <f t="shared" si="22"/>
        <v>100.09999999999943</v>
      </c>
      <c r="K129" s="872">
        <f t="shared" si="22"/>
        <v>84.000000000001279</v>
      </c>
      <c r="L129" s="872">
        <f t="shared" si="22"/>
        <v>89.600000000000591</v>
      </c>
      <c r="M129" s="872">
        <f t="shared" si="22"/>
        <v>93.100000000001387</v>
      </c>
      <c r="N129" s="872">
        <f t="shared" si="22"/>
        <v>63</v>
      </c>
      <c r="O129" s="872">
        <f t="shared" si="22"/>
        <v>68.599999999998374</v>
      </c>
      <c r="P129" s="872">
        <f t="shared" si="22"/>
        <v>72.099999999999852</v>
      </c>
      <c r="Q129" s="872">
        <f t="shared" si="22"/>
        <v>59.499999999998593</v>
      </c>
      <c r="R129" s="872">
        <f t="shared" si="22"/>
        <v>65.09999999999863</v>
      </c>
      <c r="S129" s="872">
        <f t="shared" si="22"/>
        <v>68.599999999998374</v>
      </c>
      <c r="T129" s="872">
        <f t="shared" si="21"/>
        <v>55.999999999999361</v>
      </c>
      <c r="U129" s="872">
        <f t="shared" si="20"/>
        <v>61.600000000000172</v>
      </c>
      <c r="V129" s="872">
        <f t="shared" si="20"/>
        <v>65.09999999999863</v>
      </c>
      <c r="W129" s="872">
        <f t="shared" si="20"/>
        <v>52.499999999999829</v>
      </c>
      <c r="X129" s="872">
        <f t="shared" si="20"/>
        <v>58.100000000000591</v>
      </c>
      <c r="Y129" s="872">
        <f t="shared" si="20"/>
        <v>61.600000000000172</v>
      </c>
      <c r="Z129" s="872">
        <f t="shared" si="20"/>
        <v>49.000000000000739</v>
      </c>
      <c r="AA129" s="872">
        <f t="shared" si="20"/>
        <v>54.59999999999927</v>
      </c>
      <c r="AB129" s="872">
        <f t="shared" si="20"/>
        <v>58.100000000000591</v>
      </c>
      <c r="AC129" s="872">
        <f t="shared" si="20"/>
        <v>45.499999999999261</v>
      </c>
      <c r="AD129" s="872">
        <f t="shared" si="20"/>
        <v>51.100000000000108</v>
      </c>
      <c r="AE129" s="872">
        <f t="shared" si="18"/>
        <v>54.59999999999927</v>
      </c>
      <c r="AF129" s="872">
        <f t="shared" si="18"/>
        <v>42.000000000000639</v>
      </c>
      <c r="AG129" s="872">
        <f t="shared" si="18"/>
        <v>47.599999999999781</v>
      </c>
      <c r="AH129" s="872">
        <f t="shared" si="18"/>
        <v>51.100000000000108</v>
      </c>
      <c r="AI129" s="872">
        <f t="shared" si="18"/>
        <v>38.499999999999631</v>
      </c>
      <c r="AJ129" s="872">
        <f t="shared" si="18"/>
        <v>44.100000000000925</v>
      </c>
      <c r="AK129" s="872">
        <f t="shared" si="18"/>
        <v>47.599999999999781</v>
      </c>
    </row>
    <row r="130" spans="1:37" ht="13.5" thickBot="1">
      <c r="A130" s="868"/>
      <c r="B130" s="868"/>
      <c r="C130" s="868"/>
      <c r="D130" s="873">
        <f t="shared" si="12"/>
        <v>0.35277777777777702</v>
      </c>
      <c r="E130" s="872">
        <f t="shared" si="22"/>
        <v>98.777777777779249</v>
      </c>
      <c r="F130" s="872">
        <f t="shared" si="22"/>
        <v>104.42222222222344</v>
      </c>
      <c r="G130" s="872">
        <f t="shared" si="22"/>
        <v>107.94999999999968</v>
      </c>
      <c r="H130" s="872">
        <f t="shared" si="22"/>
        <v>91.722222222220751</v>
      </c>
      <c r="I130" s="872">
        <f t="shared" si="22"/>
        <v>97.366666666664884</v>
      </c>
      <c r="J130" s="872">
        <f t="shared" si="22"/>
        <v>100.89444444444388</v>
      </c>
      <c r="K130" s="872">
        <f t="shared" si="22"/>
        <v>84.66666666666795</v>
      </c>
      <c r="L130" s="872">
        <f t="shared" si="22"/>
        <v>90.3111111111117</v>
      </c>
      <c r="M130" s="872">
        <f t="shared" si="22"/>
        <v>93.838888888890281</v>
      </c>
      <c r="N130" s="872">
        <f t="shared" si="22"/>
        <v>63.5</v>
      </c>
      <c r="O130" s="872">
        <f t="shared" si="22"/>
        <v>69.144444444442826</v>
      </c>
      <c r="P130" s="872">
        <f t="shared" si="22"/>
        <v>72.672222222222075</v>
      </c>
      <c r="Q130" s="872">
        <f t="shared" si="22"/>
        <v>59.972222222220815</v>
      </c>
      <c r="R130" s="872">
        <f t="shared" si="22"/>
        <v>65.616666666665296</v>
      </c>
      <c r="S130" s="872">
        <f t="shared" si="22"/>
        <v>69.144444444442826</v>
      </c>
      <c r="T130" s="872">
        <f t="shared" si="21"/>
        <v>56.444444444443803</v>
      </c>
      <c r="U130" s="872">
        <f t="shared" si="20"/>
        <v>62.088888888889059</v>
      </c>
      <c r="V130" s="872">
        <f t="shared" si="20"/>
        <v>65.616666666665296</v>
      </c>
      <c r="W130" s="872">
        <f t="shared" si="20"/>
        <v>52.916666666666494</v>
      </c>
      <c r="X130" s="872">
        <f t="shared" si="20"/>
        <v>58.5611111111117</v>
      </c>
      <c r="Y130" s="872">
        <f t="shared" si="20"/>
        <v>62.088888888889059</v>
      </c>
      <c r="Z130" s="872">
        <f t="shared" si="20"/>
        <v>49.388888888889625</v>
      </c>
      <c r="AA130" s="872">
        <f t="shared" si="20"/>
        <v>55.0333333333326</v>
      </c>
      <c r="AB130" s="872">
        <f t="shared" si="20"/>
        <v>58.5611111111117</v>
      </c>
      <c r="AC130" s="872">
        <f t="shared" si="20"/>
        <v>45.861111111110375</v>
      </c>
      <c r="AD130" s="872">
        <f t="shared" si="20"/>
        <v>51.505555555555667</v>
      </c>
      <c r="AE130" s="872">
        <f t="shared" si="18"/>
        <v>55.0333333333326</v>
      </c>
      <c r="AF130" s="872">
        <f t="shared" si="18"/>
        <v>42.333333333333975</v>
      </c>
      <c r="AG130" s="872">
        <f t="shared" si="18"/>
        <v>47.977777777777561</v>
      </c>
      <c r="AH130" s="872">
        <f t="shared" si="18"/>
        <v>51.505555555555667</v>
      </c>
      <c r="AI130" s="872">
        <f t="shared" si="18"/>
        <v>38.805555555555188</v>
      </c>
      <c r="AJ130" s="872">
        <f t="shared" si="18"/>
        <v>44.450000000000927</v>
      </c>
      <c r="AK130" s="872">
        <f t="shared" si="18"/>
        <v>47.977777777777561</v>
      </c>
    </row>
    <row r="131" spans="1:37" ht="13.5" thickBot="1">
      <c r="A131" s="868"/>
      <c r="B131" s="868"/>
      <c r="C131" s="868"/>
      <c r="D131" s="873">
        <f t="shared" si="12"/>
        <v>0.35555555555555479</v>
      </c>
      <c r="E131" s="872">
        <f t="shared" si="22"/>
        <v>99.555555555557021</v>
      </c>
      <c r="F131" s="872">
        <f t="shared" si="22"/>
        <v>105.24444444444566</v>
      </c>
      <c r="G131" s="872">
        <f t="shared" si="22"/>
        <v>108.79999999999967</v>
      </c>
      <c r="H131" s="872">
        <f t="shared" si="22"/>
        <v>92.444444444442979</v>
      </c>
      <c r="I131" s="872">
        <f t="shared" si="22"/>
        <v>98.133333333331549</v>
      </c>
      <c r="J131" s="872">
        <f t="shared" si="22"/>
        <v>101.68888888888833</v>
      </c>
      <c r="K131" s="872">
        <f t="shared" si="22"/>
        <v>85.333333333334622</v>
      </c>
      <c r="L131" s="872">
        <f t="shared" si="22"/>
        <v>91.022222222222808</v>
      </c>
      <c r="M131" s="872">
        <f t="shared" si="22"/>
        <v>94.577777777779175</v>
      </c>
      <c r="N131" s="872">
        <f t="shared" si="22"/>
        <v>64</v>
      </c>
      <c r="O131" s="872">
        <f t="shared" si="22"/>
        <v>69.688888888887277</v>
      </c>
      <c r="P131" s="872">
        <f t="shared" si="22"/>
        <v>73.244444444444298</v>
      </c>
      <c r="Q131" s="872">
        <f t="shared" si="22"/>
        <v>60.444444444443036</v>
      </c>
      <c r="R131" s="872">
        <f t="shared" si="22"/>
        <v>66.133333333331962</v>
      </c>
      <c r="S131" s="872">
        <f t="shared" si="22"/>
        <v>69.688888888887277</v>
      </c>
      <c r="T131" s="872">
        <f t="shared" si="21"/>
        <v>56.888888888888246</v>
      </c>
      <c r="U131" s="872">
        <f t="shared" si="20"/>
        <v>62.577777777777946</v>
      </c>
      <c r="V131" s="872">
        <f t="shared" si="20"/>
        <v>66.133333333331962</v>
      </c>
      <c r="W131" s="872">
        <f t="shared" si="20"/>
        <v>53.333333333333158</v>
      </c>
      <c r="X131" s="872">
        <f t="shared" si="20"/>
        <v>59.022222222222808</v>
      </c>
      <c r="Y131" s="872">
        <f t="shared" si="20"/>
        <v>62.577777777777946</v>
      </c>
      <c r="Z131" s="872">
        <f t="shared" si="20"/>
        <v>49.77777777777851</v>
      </c>
      <c r="AA131" s="872">
        <f t="shared" si="20"/>
        <v>55.46666666666593</v>
      </c>
      <c r="AB131" s="872">
        <f t="shared" si="20"/>
        <v>59.022222222222808</v>
      </c>
      <c r="AC131" s="872">
        <f t="shared" si="20"/>
        <v>46.22222222222149</v>
      </c>
      <c r="AD131" s="872">
        <f t="shared" si="20"/>
        <v>51.911111111111225</v>
      </c>
      <c r="AE131" s="872">
        <f t="shared" si="18"/>
        <v>55.46666666666593</v>
      </c>
      <c r="AF131" s="872">
        <f t="shared" si="18"/>
        <v>42.666666666667311</v>
      </c>
      <c r="AG131" s="872">
        <f t="shared" si="18"/>
        <v>48.355555555555341</v>
      </c>
      <c r="AH131" s="872">
        <f t="shared" si="18"/>
        <v>51.911111111111225</v>
      </c>
      <c r="AI131" s="872">
        <f t="shared" si="18"/>
        <v>39.111111111110745</v>
      </c>
      <c r="AJ131" s="872">
        <f t="shared" si="18"/>
        <v>44.800000000000928</v>
      </c>
      <c r="AK131" s="872">
        <f t="shared" si="18"/>
        <v>48.355555555555341</v>
      </c>
    </row>
    <row r="132" spans="1:37" ht="13.5" thickBot="1">
      <c r="A132" s="868"/>
      <c r="B132" s="868"/>
      <c r="C132" s="868"/>
      <c r="D132" s="873">
        <f t="shared" si="12"/>
        <v>0.35833333333333256</v>
      </c>
      <c r="E132" s="872">
        <f t="shared" si="22"/>
        <v>100.33333333333479</v>
      </c>
      <c r="F132" s="872">
        <f t="shared" si="22"/>
        <v>106.06666666666789</v>
      </c>
      <c r="G132" s="872">
        <f t="shared" si="22"/>
        <v>109.64999999999966</v>
      </c>
      <c r="H132" s="872">
        <f t="shared" si="22"/>
        <v>93.166666666665208</v>
      </c>
      <c r="I132" s="872">
        <f t="shared" si="22"/>
        <v>98.899999999998215</v>
      </c>
      <c r="J132" s="872">
        <f t="shared" si="22"/>
        <v>102.48333333333278</v>
      </c>
      <c r="K132" s="872">
        <f t="shared" si="22"/>
        <v>86.000000000001293</v>
      </c>
      <c r="L132" s="872">
        <f t="shared" si="22"/>
        <v>91.733333333333917</v>
      </c>
      <c r="M132" s="872">
        <f t="shared" si="22"/>
        <v>95.31666666666807</v>
      </c>
      <c r="N132" s="872">
        <f t="shared" si="22"/>
        <v>64.5</v>
      </c>
      <c r="O132" s="872">
        <f t="shared" si="22"/>
        <v>70.233333333331728</v>
      </c>
      <c r="P132" s="872">
        <f t="shared" si="22"/>
        <v>73.816666666666521</v>
      </c>
      <c r="Q132" s="872">
        <f t="shared" si="22"/>
        <v>60.916666666665257</v>
      </c>
      <c r="R132" s="872">
        <f t="shared" si="22"/>
        <v>66.649999999998627</v>
      </c>
      <c r="S132" s="872">
        <f t="shared" si="22"/>
        <v>70.233333333331728</v>
      </c>
      <c r="T132" s="872">
        <f t="shared" si="21"/>
        <v>57.333333333332689</v>
      </c>
      <c r="U132" s="872">
        <f t="shared" si="20"/>
        <v>63.066666666666833</v>
      </c>
      <c r="V132" s="872">
        <f t="shared" si="20"/>
        <v>66.649999999998627</v>
      </c>
      <c r="W132" s="872">
        <f t="shared" si="20"/>
        <v>53.749999999999822</v>
      </c>
      <c r="X132" s="872">
        <f t="shared" si="20"/>
        <v>59.483333333333917</v>
      </c>
      <c r="Y132" s="872">
        <f t="shared" si="20"/>
        <v>63.066666666666833</v>
      </c>
      <c r="Z132" s="872">
        <f t="shared" si="20"/>
        <v>50.166666666667396</v>
      </c>
      <c r="AA132" s="872">
        <f t="shared" si="20"/>
        <v>55.89999999999926</v>
      </c>
      <c r="AB132" s="872">
        <f t="shared" si="20"/>
        <v>59.483333333333917</v>
      </c>
      <c r="AC132" s="872">
        <f t="shared" si="20"/>
        <v>46.583333333332604</v>
      </c>
      <c r="AD132" s="872">
        <f t="shared" si="20"/>
        <v>52.316666666666784</v>
      </c>
      <c r="AE132" s="872">
        <f t="shared" si="18"/>
        <v>55.89999999999926</v>
      </c>
      <c r="AF132" s="872">
        <f t="shared" si="18"/>
        <v>43.000000000000647</v>
      </c>
      <c r="AG132" s="872">
        <f t="shared" si="18"/>
        <v>48.733333333333121</v>
      </c>
      <c r="AH132" s="872">
        <f t="shared" si="18"/>
        <v>52.316666666666784</v>
      </c>
      <c r="AI132" s="872">
        <f t="shared" si="18"/>
        <v>39.416666666666302</v>
      </c>
      <c r="AJ132" s="872">
        <f t="shared" si="18"/>
        <v>45.150000000000929</v>
      </c>
      <c r="AK132" s="872">
        <f t="shared" si="18"/>
        <v>48.733333333333121</v>
      </c>
    </row>
    <row r="133" spans="1:37" ht="13.5" thickBot="1">
      <c r="A133" s="868"/>
      <c r="B133" s="868"/>
      <c r="C133" s="868"/>
      <c r="D133" s="873">
        <f t="shared" ref="D133:D196" si="23">D132+0.2/72</f>
        <v>0.36111111111111033</v>
      </c>
      <c r="E133" s="872">
        <f t="shared" si="22"/>
        <v>101.11111111111256</v>
      </c>
      <c r="F133" s="872">
        <f t="shared" si="22"/>
        <v>106.88888888889011</v>
      </c>
      <c r="G133" s="872">
        <f t="shared" si="22"/>
        <v>110.49999999999966</v>
      </c>
      <c r="H133" s="872">
        <f t="shared" si="22"/>
        <v>93.888888888887436</v>
      </c>
      <c r="I133" s="872">
        <f t="shared" si="22"/>
        <v>99.666666666664881</v>
      </c>
      <c r="J133" s="872">
        <f t="shared" si="22"/>
        <v>103.27777777777723</v>
      </c>
      <c r="K133" s="872">
        <f t="shared" si="22"/>
        <v>86.666666666667965</v>
      </c>
      <c r="L133" s="872">
        <f t="shared" si="22"/>
        <v>92.444444444445026</v>
      </c>
      <c r="M133" s="872">
        <f t="shared" si="22"/>
        <v>96.055555555556964</v>
      </c>
      <c r="N133" s="872">
        <f t="shared" si="22"/>
        <v>65</v>
      </c>
      <c r="O133" s="872">
        <f t="shared" si="22"/>
        <v>70.77777777777618</v>
      </c>
      <c r="P133" s="872">
        <f t="shared" si="22"/>
        <v>74.388888888888744</v>
      </c>
      <c r="Q133" s="872">
        <f t="shared" si="22"/>
        <v>61.388888888887479</v>
      </c>
      <c r="R133" s="872">
        <f t="shared" si="22"/>
        <v>67.166666666665293</v>
      </c>
      <c r="S133" s="872">
        <f t="shared" si="22"/>
        <v>70.77777777777618</v>
      </c>
      <c r="T133" s="872">
        <f t="shared" si="21"/>
        <v>57.777777777777132</v>
      </c>
      <c r="U133" s="872">
        <f t="shared" si="20"/>
        <v>63.555555555555721</v>
      </c>
      <c r="V133" s="872">
        <f t="shared" si="20"/>
        <v>67.166666666665293</v>
      </c>
      <c r="W133" s="872">
        <f t="shared" si="20"/>
        <v>54.166666666666487</v>
      </c>
      <c r="X133" s="872">
        <f t="shared" si="20"/>
        <v>59.944444444445026</v>
      </c>
      <c r="Y133" s="872">
        <f t="shared" si="20"/>
        <v>63.555555555555721</v>
      </c>
      <c r="Z133" s="872">
        <f t="shared" si="20"/>
        <v>50.555555555556282</v>
      </c>
      <c r="AA133" s="872">
        <f t="shared" si="20"/>
        <v>56.33333333333259</v>
      </c>
      <c r="AB133" s="872">
        <f t="shared" si="20"/>
        <v>59.944444444445026</v>
      </c>
      <c r="AC133" s="872">
        <f t="shared" si="20"/>
        <v>46.944444444443718</v>
      </c>
      <c r="AD133" s="872">
        <f t="shared" si="20"/>
        <v>52.722222222222342</v>
      </c>
      <c r="AE133" s="872">
        <f t="shared" si="18"/>
        <v>56.33333333333259</v>
      </c>
      <c r="AF133" s="872">
        <f t="shared" si="18"/>
        <v>43.333333333333982</v>
      </c>
      <c r="AG133" s="872">
        <f t="shared" si="18"/>
        <v>49.111111111110901</v>
      </c>
      <c r="AH133" s="872">
        <f t="shared" si="18"/>
        <v>52.722222222222342</v>
      </c>
      <c r="AI133" s="872">
        <f t="shared" si="18"/>
        <v>39.722222222221859</v>
      </c>
      <c r="AJ133" s="872">
        <f t="shared" si="18"/>
        <v>45.500000000000931</v>
      </c>
      <c r="AK133" s="872">
        <f t="shared" si="18"/>
        <v>49.111111111110901</v>
      </c>
    </row>
    <row r="134" spans="1:37" ht="13.5" thickBot="1">
      <c r="A134" s="868"/>
      <c r="B134" s="868"/>
      <c r="C134" s="868"/>
      <c r="D134" s="873">
        <f t="shared" si="23"/>
        <v>0.3638888888888881</v>
      </c>
      <c r="E134" s="872">
        <f t="shared" ref="E134:T150" si="24">E135-(E$363/360)</f>
        <v>101.88888888889034</v>
      </c>
      <c r="F134" s="872">
        <f t="shared" si="24"/>
        <v>107.71111111111233</v>
      </c>
      <c r="G134" s="872">
        <f t="shared" si="24"/>
        <v>111.34999999999965</v>
      </c>
      <c r="H134" s="872">
        <f t="shared" si="24"/>
        <v>94.611111111109665</v>
      </c>
      <c r="I134" s="872">
        <f t="shared" si="24"/>
        <v>100.43333333333155</v>
      </c>
      <c r="J134" s="872">
        <f t="shared" si="24"/>
        <v>104.07222222222168</v>
      </c>
      <c r="K134" s="872">
        <f t="shared" si="24"/>
        <v>87.333333333334636</v>
      </c>
      <c r="L134" s="872">
        <f t="shared" si="24"/>
        <v>93.155555555556134</v>
      </c>
      <c r="M134" s="872">
        <f t="shared" si="24"/>
        <v>96.794444444445858</v>
      </c>
      <c r="N134" s="872">
        <f t="shared" si="24"/>
        <v>65.5</v>
      </c>
      <c r="O134" s="872">
        <f t="shared" si="24"/>
        <v>71.322222222220631</v>
      </c>
      <c r="P134" s="872">
        <f t="shared" si="24"/>
        <v>74.961111111110966</v>
      </c>
      <c r="Q134" s="872">
        <f t="shared" si="24"/>
        <v>61.8611111111097</v>
      </c>
      <c r="R134" s="872">
        <f t="shared" si="24"/>
        <v>67.683333333331959</v>
      </c>
      <c r="S134" s="872">
        <f t="shared" si="24"/>
        <v>71.322222222220631</v>
      </c>
      <c r="T134" s="872">
        <f t="shared" si="21"/>
        <v>58.222222222221575</v>
      </c>
      <c r="U134" s="872">
        <f t="shared" si="20"/>
        <v>64.044444444444608</v>
      </c>
      <c r="V134" s="872">
        <f t="shared" si="20"/>
        <v>67.683333333331959</v>
      </c>
      <c r="W134" s="872">
        <f t="shared" si="20"/>
        <v>54.583333333333151</v>
      </c>
      <c r="X134" s="872">
        <f t="shared" si="20"/>
        <v>60.405555555556134</v>
      </c>
      <c r="Y134" s="872">
        <f t="shared" si="20"/>
        <v>64.044444444444608</v>
      </c>
      <c r="Z134" s="872">
        <f t="shared" si="20"/>
        <v>50.944444444445168</v>
      </c>
      <c r="AA134" s="872">
        <f t="shared" si="20"/>
        <v>56.76666666666592</v>
      </c>
      <c r="AB134" s="872">
        <f t="shared" si="20"/>
        <v>60.405555555556134</v>
      </c>
      <c r="AC134" s="872">
        <f t="shared" si="20"/>
        <v>47.305555555554832</v>
      </c>
      <c r="AD134" s="872">
        <f t="shared" si="20"/>
        <v>53.127777777777901</v>
      </c>
      <c r="AE134" s="872">
        <f t="shared" si="18"/>
        <v>56.76666666666592</v>
      </c>
      <c r="AF134" s="872">
        <f t="shared" si="18"/>
        <v>43.666666666667318</v>
      </c>
      <c r="AG134" s="872">
        <f t="shared" si="18"/>
        <v>49.488888888888681</v>
      </c>
      <c r="AH134" s="872">
        <f t="shared" si="18"/>
        <v>53.127777777777901</v>
      </c>
      <c r="AI134" s="872">
        <f t="shared" si="18"/>
        <v>40.027777777777416</v>
      </c>
      <c r="AJ134" s="872">
        <f t="shared" si="18"/>
        <v>45.850000000000932</v>
      </c>
      <c r="AK134" s="872">
        <f t="shared" si="18"/>
        <v>49.488888888888681</v>
      </c>
    </row>
    <row r="135" spans="1:37" ht="13.5" thickBot="1">
      <c r="A135" s="868"/>
      <c r="B135" s="868"/>
      <c r="C135" s="868"/>
      <c r="D135" s="873">
        <f t="shared" si="23"/>
        <v>0.36666666666666586</v>
      </c>
      <c r="E135" s="872">
        <f t="shared" si="24"/>
        <v>102.66666666666811</v>
      </c>
      <c r="F135" s="872">
        <f t="shared" si="24"/>
        <v>108.53333333333455</v>
      </c>
      <c r="G135" s="872">
        <f t="shared" si="24"/>
        <v>112.19999999999965</v>
      </c>
      <c r="H135" s="872">
        <f t="shared" si="24"/>
        <v>95.333333333331893</v>
      </c>
      <c r="I135" s="872">
        <f t="shared" si="24"/>
        <v>101.19999999999821</v>
      </c>
      <c r="J135" s="872">
        <f t="shared" si="24"/>
        <v>104.86666666666613</v>
      </c>
      <c r="K135" s="872">
        <f t="shared" si="24"/>
        <v>88.000000000001307</v>
      </c>
      <c r="L135" s="872">
        <f t="shared" si="24"/>
        <v>93.866666666667243</v>
      </c>
      <c r="M135" s="872">
        <f t="shared" si="24"/>
        <v>97.533333333334753</v>
      </c>
      <c r="N135" s="872">
        <f t="shared" si="24"/>
        <v>66</v>
      </c>
      <c r="O135" s="872">
        <f t="shared" si="24"/>
        <v>71.866666666665083</v>
      </c>
      <c r="P135" s="872">
        <f t="shared" si="24"/>
        <v>75.533333333333189</v>
      </c>
      <c r="Q135" s="872">
        <f t="shared" si="24"/>
        <v>62.333333333331922</v>
      </c>
      <c r="R135" s="872">
        <f t="shared" si="24"/>
        <v>68.199999999998624</v>
      </c>
      <c r="S135" s="872">
        <f t="shared" si="24"/>
        <v>71.866666666665083</v>
      </c>
      <c r="T135" s="872">
        <f t="shared" si="21"/>
        <v>58.666666666666018</v>
      </c>
      <c r="U135" s="872">
        <f t="shared" si="20"/>
        <v>64.533333333333502</v>
      </c>
      <c r="V135" s="872">
        <f t="shared" si="20"/>
        <v>68.199999999998624</v>
      </c>
      <c r="W135" s="872">
        <f t="shared" si="20"/>
        <v>54.999999999999815</v>
      </c>
      <c r="X135" s="872">
        <f t="shared" si="20"/>
        <v>60.866666666667243</v>
      </c>
      <c r="Y135" s="872">
        <f t="shared" si="20"/>
        <v>64.533333333333502</v>
      </c>
      <c r="Z135" s="872">
        <f t="shared" si="20"/>
        <v>51.333333333334053</v>
      </c>
      <c r="AA135" s="872">
        <f t="shared" si="20"/>
        <v>57.19999999999925</v>
      </c>
      <c r="AB135" s="872">
        <f t="shared" si="20"/>
        <v>60.866666666667243</v>
      </c>
      <c r="AC135" s="872">
        <f t="shared" si="20"/>
        <v>47.666666666665947</v>
      </c>
      <c r="AD135" s="872">
        <f t="shared" si="20"/>
        <v>53.533333333333459</v>
      </c>
      <c r="AE135" s="872">
        <f t="shared" si="18"/>
        <v>57.19999999999925</v>
      </c>
      <c r="AF135" s="872">
        <f t="shared" si="18"/>
        <v>44.000000000000654</v>
      </c>
      <c r="AG135" s="872">
        <f t="shared" si="18"/>
        <v>49.866666666666461</v>
      </c>
      <c r="AH135" s="872">
        <f t="shared" si="18"/>
        <v>53.533333333333459</v>
      </c>
      <c r="AI135" s="872">
        <f t="shared" si="18"/>
        <v>40.333333333332973</v>
      </c>
      <c r="AJ135" s="872">
        <f t="shared" si="18"/>
        <v>46.200000000000934</v>
      </c>
      <c r="AK135" s="872">
        <f t="shared" si="18"/>
        <v>49.866666666666461</v>
      </c>
    </row>
    <row r="136" spans="1:37" ht="13.5" thickBot="1">
      <c r="A136" s="868"/>
      <c r="B136" s="868"/>
      <c r="C136" s="868"/>
      <c r="D136" s="873">
        <f t="shared" si="23"/>
        <v>0.36944444444444363</v>
      </c>
      <c r="E136" s="872">
        <f t="shared" si="24"/>
        <v>103.44444444444588</v>
      </c>
      <c r="F136" s="872">
        <f t="shared" si="24"/>
        <v>109.35555555555678</v>
      </c>
      <c r="G136" s="872">
        <f t="shared" si="24"/>
        <v>113.04999999999964</v>
      </c>
      <c r="H136" s="872">
        <f t="shared" si="24"/>
        <v>96.055555555554122</v>
      </c>
      <c r="I136" s="872">
        <f t="shared" si="24"/>
        <v>101.96666666666488</v>
      </c>
      <c r="J136" s="872">
        <f t="shared" si="24"/>
        <v>105.66111111111059</v>
      </c>
      <c r="K136" s="872">
        <f t="shared" si="24"/>
        <v>88.666666666667979</v>
      </c>
      <c r="L136" s="872">
        <f t="shared" si="24"/>
        <v>94.577777777778351</v>
      </c>
      <c r="M136" s="872">
        <f t="shared" si="24"/>
        <v>98.272222222223647</v>
      </c>
      <c r="N136" s="872">
        <f t="shared" si="24"/>
        <v>66.5</v>
      </c>
      <c r="O136" s="872">
        <f t="shared" si="24"/>
        <v>72.411111111109534</v>
      </c>
      <c r="P136" s="872">
        <f t="shared" si="24"/>
        <v>76.105555555555412</v>
      </c>
      <c r="Q136" s="872">
        <f t="shared" si="24"/>
        <v>62.805555555554143</v>
      </c>
      <c r="R136" s="872">
        <f t="shared" si="24"/>
        <v>68.71666666666529</v>
      </c>
      <c r="S136" s="872">
        <f t="shared" si="24"/>
        <v>72.411111111109534</v>
      </c>
      <c r="T136" s="872">
        <f t="shared" si="21"/>
        <v>59.111111111110461</v>
      </c>
      <c r="U136" s="872">
        <f t="shared" si="20"/>
        <v>65.022222222222396</v>
      </c>
      <c r="V136" s="872">
        <f t="shared" si="20"/>
        <v>68.71666666666529</v>
      </c>
      <c r="W136" s="872">
        <f t="shared" si="20"/>
        <v>55.41666666666648</v>
      </c>
      <c r="X136" s="872">
        <f t="shared" si="20"/>
        <v>61.327777777778351</v>
      </c>
      <c r="Y136" s="872">
        <f t="shared" si="20"/>
        <v>65.022222222222396</v>
      </c>
      <c r="Z136" s="872">
        <f t="shared" si="20"/>
        <v>51.722222222222939</v>
      </c>
      <c r="AA136" s="872">
        <f t="shared" si="20"/>
        <v>57.63333333333258</v>
      </c>
      <c r="AB136" s="872">
        <f t="shared" si="20"/>
        <v>61.327777777778351</v>
      </c>
      <c r="AC136" s="872">
        <f t="shared" si="20"/>
        <v>48.027777777777061</v>
      </c>
      <c r="AD136" s="872">
        <f t="shared" si="20"/>
        <v>53.938888888889018</v>
      </c>
      <c r="AE136" s="872">
        <f t="shared" si="18"/>
        <v>57.63333333333258</v>
      </c>
      <c r="AF136" s="872">
        <f t="shared" si="18"/>
        <v>44.333333333333989</v>
      </c>
      <c r="AG136" s="872">
        <f t="shared" si="18"/>
        <v>50.244444444444241</v>
      </c>
      <c r="AH136" s="872">
        <f t="shared" si="18"/>
        <v>53.938888888889018</v>
      </c>
      <c r="AI136" s="872">
        <f t="shared" si="18"/>
        <v>40.63888888888853</v>
      </c>
      <c r="AJ136" s="872">
        <f t="shared" si="18"/>
        <v>46.550000000000935</v>
      </c>
      <c r="AK136" s="872">
        <f t="shared" si="18"/>
        <v>50.244444444444241</v>
      </c>
    </row>
    <row r="137" spans="1:37" ht="13.5" thickBot="1">
      <c r="A137" s="868"/>
      <c r="B137" s="868"/>
      <c r="C137" s="868"/>
      <c r="D137" s="873">
        <f t="shared" si="23"/>
        <v>0.3722222222222214</v>
      </c>
      <c r="E137" s="872">
        <f t="shared" si="24"/>
        <v>104.22222222222365</v>
      </c>
      <c r="F137" s="872">
        <f t="shared" si="24"/>
        <v>110.177777777779</v>
      </c>
      <c r="G137" s="872">
        <f t="shared" si="24"/>
        <v>113.89999999999964</v>
      </c>
      <c r="H137" s="872">
        <f t="shared" si="24"/>
        <v>96.77777777777635</v>
      </c>
      <c r="I137" s="872">
        <f t="shared" si="24"/>
        <v>102.73333333333154</v>
      </c>
      <c r="J137" s="872">
        <f t="shared" si="24"/>
        <v>106.45555555555504</v>
      </c>
      <c r="K137" s="872">
        <f t="shared" si="24"/>
        <v>89.33333333333465</v>
      </c>
      <c r="L137" s="872">
        <f t="shared" si="24"/>
        <v>95.28888888888946</v>
      </c>
      <c r="M137" s="872">
        <f t="shared" si="24"/>
        <v>99.011111111112541</v>
      </c>
      <c r="N137" s="872">
        <f t="shared" si="24"/>
        <v>67</v>
      </c>
      <c r="O137" s="872">
        <f t="shared" si="24"/>
        <v>72.955555555553985</v>
      </c>
      <c r="P137" s="872">
        <f t="shared" si="24"/>
        <v>76.677777777777635</v>
      </c>
      <c r="Q137" s="872">
        <f t="shared" si="24"/>
        <v>63.277777777776365</v>
      </c>
      <c r="R137" s="872">
        <f t="shared" si="24"/>
        <v>69.233333333331956</v>
      </c>
      <c r="S137" s="872">
        <f t="shared" si="24"/>
        <v>72.955555555553985</v>
      </c>
      <c r="T137" s="872">
        <f t="shared" si="21"/>
        <v>59.555555555554903</v>
      </c>
      <c r="U137" s="872">
        <f t="shared" si="20"/>
        <v>65.51111111111129</v>
      </c>
      <c r="V137" s="872">
        <f t="shared" si="20"/>
        <v>69.233333333331956</v>
      </c>
      <c r="W137" s="872">
        <f t="shared" si="20"/>
        <v>55.833333333333144</v>
      </c>
      <c r="X137" s="872">
        <f t="shared" si="20"/>
        <v>61.78888888888946</v>
      </c>
      <c r="Y137" s="872">
        <f t="shared" si="20"/>
        <v>65.51111111111129</v>
      </c>
      <c r="Z137" s="872">
        <f t="shared" si="20"/>
        <v>52.111111111111825</v>
      </c>
      <c r="AA137" s="872">
        <f t="shared" si="20"/>
        <v>58.06666666666591</v>
      </c>
      <c r="AB137" s="872">
        <f t="shared" si="20"/>
        <v>61.78888888888946</v>
      </c>
      <c r="AC137" s="872">
        <f t="shared" si="20"/>
        <v>48.388888888888175</v>
      </c>
      <c r="AD137" s="872">
        <f t="shared" si="20"/>
        <v>54.344444444444576</v>
      </c>
      <c r="AE137" s="872">
        <f t="shared" si="18"/>
        <v>58.06666666666591</v>
      </c>
      <c r="AF137" s="872">
        <f t="shared" si="18"/>
        <v>44.666666666667325</v>
      </c>
      <c r="AG137" s="872">
        <f t="shared" si="18"/>
        <v>50.622222222222021</v>
      </c>
      <c r="AH137" s="872">
        <f t="shared" si="18"/>
        <v>54.344444444444576</v>
      </c>
      <c r="AI137" s="872">
        <f t="shared" si="18"/>
        <v>40.944444444444088</v>
      </c>
      <c r="AJ137" s="872">
        <f t="shared" si="18"/>
        <v>46.900000000000936</v>
      </c>
      <c r="AK137" s="872">
        <f t="shared" si="18"/>
        <v>50.622222222222021</v>
      </c>
    </row>
    <row r="138" spans="1:37" ht="13.5" thickBot="1">
      <c r="A138" s="868"/>
      <c r="B138" s="868"/>
      <c r="C138" s="868"/>
      <c r="D138" s="873">
        <f t="shared" si="23"/>
        <v>0.37499999999999917</v>
      </c>
      <c r="E138" s="872">
        <f t="shared" si="24"/>
        <v>105.00000000000142</v>
      </c>
      <c r="F138" s="872">
        <f t="shared" si="24"/>
        <v>111.00000000000122</v>
      </c>
      <c r="G138" s="872">
        <f t="shared" si="24"/>
        <v>114.74999999999963</v>
      </c>
      <c r="H138" s="872">
        <f t="shared" si="24"/>
        <v>97.499999999998579</v>
      </c>
      <c r="I138" s="872">
        <f t="shared" si="24"/>
        <v>103.49999999999821</v>
      </c>
      <c r="J138" s="872">
        <f t="shared" si="24"/>
        <v>107.24999999999949</v>
      </c>
      <c r="K138" s="872">
        <f t="shared" si="24"/>
        <v>90.000000000001322</v>
      </c>
      <c r="L138" s="872">
        <f t="shared" si="24"/>
        <v>96.000000000000568</v>
      </c>
      <c r="M138" s="872">
        <f t="shared" si="24"/>
        <v>99.750000000001435</v>
      </c>
      <c r="N138" s="872">
        <f t="shared" si="24"/>
        <v>67.5</v>
      </c>
      <c r="O138" s="872">
        <f t="shared" si="24"/>
        <v>73.499999999998437</v>
      </c>
      <c r="P138" s="872">
        <f t="shared" si="24"/>
        <v>77.249999999999858</v>
      </c>
      <c r="Q138" s="872">
        <f t="shared" si="24"/>
        <v>63.749999999998586</v>
      </c>
      <c r="R138" s="872">
        <f t="shared" si="24"/>
        <v>69.749999999998622</v>
      </c>
      <c r="S138" s="872">
        <f t="shared" si="24"/>
        <v>73.499999999998437</v>
      </c>
      <c r="T138" s="872">
        <f t="shared" si="21"/>
        <v>59.999999999999346</v>
      </c>
      <c r="U138" s="872">
        <f t="shared" si="20"/>
        <v>66.000000000000185</v>
      </c>
      <c r="V138" s="872">
        <f t="shared" si="20"/>
        <v>69.749999999998622</v>
      </c>
      <c r="W138" s="872">
        <f t="shared" si="20"/>
        <v>56.249999999999808</v>
      </c>
      <c r="X138" s="872">
        <f t="shared" si="20"/>
        <v>62.250000000000568</v>
      </c>
      <c r="Y138" s="872">
        <f t="shared" si="20"/>
        <v>66.000000000000185</v>
      </c>
      <c r="Z138" s="872">
        <f t="shared" si="20"/>
        <v>52.500000000000711</v>
      </c>
      <c r="AA138" s="872">
        <f t="shared" si="20"/>
        <v>58.49999999999924</v>
      </c>
      <c r="AB138" s="872">
        <f t="shared" si="20"/>
        <v>62.250000000000568</v>
      </c>
      <c r="AC138" s="872">
        <f t="shared" si="20"/>
        <v>48.749999999999289</v>
      </c>
      <c r="AD138" s="872">
        <f t="shared" si="20"/>
        <v>54.750000000000135</v>
      </c>
      <c r="AE138" s="872">
        <f t="shared" si="18"/>
        <v>58.49999999999924</v>
      </c>
      <c r="AF138" s="872">
        <f t="shared" si="18"/>
        <v>45.000000000000661</v>
      </c>
      <c r="AG138" s="872">
        <f t="shared" ref="AE138:AK174" si="25">AG139-(AG$363/360)</f>
        <v>50.999999999999801</v>
      </c>
      <c r="AH138" s="872">
        <f t="shared" si="25"/>
        <v>54.750000000000135</v>
      </c>
      <c r="AI138" s="872">
        <f t="shared" si="25"/>
        <v>41.249999999999645</v>
      </c>
      <c r="AJ138" s="872">
        <f t="shared" si="25"/>
        <v>47.250000000000938</v>
      </c>
      <c r="AK138" s="872">
        <f t="shared" si="25"/>
        <v>50.999999999999801</v>
      </c>
    </row>
    <row r="139" spans="1:37" ht="13.5" thickBot="1">
      <c r="A139" s="868"/>
      <c r="B139" s="868"/>
      <c r="C139" s="868"/>
      <c r="D139" s="873">
        <f t="shared" si="23"/>
        <v>0.37777777777777694</v>
      </c>
      <c r="E139" s="872">
        <f t="shared" si="24"/>
        <v>105.77777777777919</v>
      </c>
      <c r="F139" s="872">
        <f t="shared" si="24"/>
        <v>111.82222222222344</v>
      </c>
      <c r="G139" s="872">
        <f t="shared" si="24"/>
        <v>115.59999999999962</v>
      </c>
      <c r="H139" s="872">
        <f t="shared" si="24"/>
        <v>98.222222222220807</v>
      </c>
      <c r="I139" s="872">
        <f t="shared" si="24"/>
        <v>104.26666666666488</v>
      </c>
      <c r="J139" s="872">
        <f t="shared" si="24"/>
        <v>108.04444444444394</v>
      </c>
      <c r="K139" s="872">
        <f t="shared" si="24"/>
        <v>90.666666666667993</v>
      </c>
      <c r="L139" s="872">
        <f t="shared" si="24"/>
        <v>96.711111111111677</v>
      </c>
      <c r="M139" s="872">
        <f t="shared" si="24"/>
        <v>100.48888888889033</v>
      </c>
      <c r="N139" s="872">
        <f t="shared" si="24"/>
        <v>68</v>
      </c>
      <c r="O139" s="872">
        <f t="shared" si="24"/>
        <v>74.044444444442888</v>
      </c>
      <c r="P139" s="872">
        <f t="shared" si="24"/>
        <v>77.822222222222081</v>
      </c>
      <c r="Q139" s="872">
        <f t="shared" si="24"/>
        <v>64.222222222220807</v>
      </c>
      <c r="R139" s="872">
        <f t="shared" si="24"/>
        <v>70.266666666665287</v>
      </c>
      <c r="S139" s="872">
        <f t="shared" si="24"/>
        <v>74.044444444442888</v>
      </c>
      <c r="T139" s="872">
        <f t="shared" si="21"/>
        <v>60.444444444443789</v>
      </c>
      <c r="U139" s="872">
        <f t="shared" si="20"/>
        <v>66.488888888889079</v>
      </c>
      <c r="V139" s="872">
        <f t="shared" si="20"/>
        <v>70.266666666665287</v>
      </c>
      <c r="W139" s="872">
        <f t="shared" si="20"/>
        <v>56.666666666666472</v>
      </c>
      <c r="X139" s="872">
        <f t="shared" si="20"/>
        <v>62.711111111111677</v>
      </c>
      <c r="Y139" s="872">
        <f t="shared" si="20"/>
        <v>66.488888888889079</v>
      </c>
      <c r="Z139" s="872">
        <f t="shared" ref="Z139:AD170" si="26">Z140-(Z$363/360)</f>
        <v>52.888888888889596</v>
      </c>
      <c r="AA139" s="872">
        <f t="shared" si="26"/>
        <v>58.93333333333257</v>
      </c>
      <c r="AB139" s="872">
        <f t="shared" si="26"/>
        <v>62.711111111111677</v>
      </c>
      <c r="AC139" s="872">
        <f t="shared" si="26"/>
        <v>49.111111111110404</v>
      </c>
      <c r="AD139" s="872">
        <f t="shared" si="26"/>
        <v>55.155555555555694</v>
      </c>
      <c r="AE139" s="872">
        <f t="shared" si="25"/>
        <v>58.93333333333257</v>
      </c>
      <c r="AF139" s="872">
        <f t="shared" si="25"/>
        <v>45.333333333333997</v>
      </c>
      <c r="AG139" s="872">
        <f t="shared" si="25"/>
        <v>51.377777777777581</v>
      </c>
      <c r="AH139" s="872">
        <f t="shared" si="25"/>
        <v>55.155555555555694</v>
      </c>
      <c r="AI139" s="872">
        <f t="shared" si="25"/>
        <v>41.555555555555202</v>
      </c>
      <c r="AJ139" s="872">
        <f t="shared" si="25"/>
        <v>47.600000000000939</v>
      </c>
      <c r="AK139" s="872">
        <f t="shared" si="25"/>
        <v>51.377777777777581</v>
      </c>
    </row>
    <row r="140" spans="1:37" ht="13.5" thickBot="1">
      <c r="A140" s="868"/>
      <c r="B140" s="868"/>
      <c r="C140" s="868"/>
      <c r="D140" s="873">
        <f t="shared" si="23"/>
        <v>0.3805555555555547</v>
      </c>
      <c r="E140" s="872">
        <f t="shared" si="24"/>
        <v>106.55555555555696</v>
      </c>
      <c r="F140" s="872">
        <f t="shared" si="24"/>
        <v>112.64444444444567</v>
      </c>
      <c r="G140" s="872">
        <f t="shared" si="24"/>
        <v>116.44999999999962</v>
      </c>
      <c r="H140" s="872">
        <f t="shared" si="24"/>
        <v>98.944444444443036</v>
      </c>
      <c r="I140" s="872">
        <f t="shared" si="24"/>
        <v>105.03333333333154</v>
      </c>
      <c r="J140" s="872">
        <f t="shared" si="24"/>
        <v>108.83888888888839</v>
      </c>
      <c r="K140" s="872">
        <f t="shared" si="24"/>
        <v>91.333333333334664</v>
      </c>
      <c r="L140" s="872">
        <f t="shared" si="24"/>
        <v>97.422222222222786</v>
      </c>
      <c r="M140" s="872">
        <f t="shared" si="24"/>
        <v>101.22777777777922</v>
      </c>
      <c r="N140" s="872">
        <f t="shared" si="24"/>
        <v>68.5</v>
      </c>
      <c r="O140" s="872">
        <f t="shared" si="24"/>
        <v>74.58888888888734</v>
      </c>
      <c r="P140" s="872">
        <f t="shared" si="24"/>
        <v>78.394444444444304</v>
      </c>
      <c r="Q140" s="872">
        <f t="shared" si="24"/>
        <v>64.694444444443036</v>
      </c>
      <c r="R140" s="872">
        <f t="shared" si="24"/>
        <v>70.783333333331953</v>
      </c>
      <c r="S140" s="872">
        <f t="shared" si="24"/>
        <v>74.58888888888734</v>
      </c>
      <c r="T140" s="872">
        <f t="shared" si="21"/>
        <v>60.888888888888232</v>
      </c>
      <c r="U140" s="872">
        <f t="shared" ref="U140:Y147" si="27">U141-(U$363/360)</f>
        <v>66.977777777777973</v>
      </c>
      <c r="V140" s="872">
        <f t="shared" si="27"/>
        <v>70.783333333331953</v>
      </c>
      <c r="W140" s="872">
        <f t="shared" si="27"/>
        <v>57.083333333333137</v>
      </c>
      <c r="X140" s="872">
        <f t="shared" si="27"/>
        <v>63.172222222222786</v>
      </c>
      <c r="Y140" s="872">
        <f t="shared" si="27"/>
        <v>66.977777777777973</v>
      </c>
      <c r="Z140" s="872">
        <f t="shared" si="26"/>
        <v>53.277777777778482</v>
      </c>
      <c r="AA140" s="872">
        <f t="shared" si="26"/>
        <v>59.3666666666659</v>
      </c>
      <c r="AB140" s="872">
        <f t="shared" si="26"/>
        <v>63.172222222222786</v>
      </c>
      <c r="AC140" s="872">
        <f t="shared" si="26"/>
        <v>49.472222222221518</v>
      </c>
      <c r="AD140" s="872">
        <f t="shared" si="26"/>
        <v>55.561111111111252</v>
      </c>
      <c r="AE140" s="872">
        <f t="shared" si="25"/>
        <v>59.3666666666659</v>
      </c>
      <c r="AF140" s="872">
        <f t="shared" si="25"/>
        <v>45.666666666667332</v>
      </c>
      <c r="AG140" s="872">
        <f t="shared" si="25"/>
        <v>51.755555555555361</v>
      </c>
      <c r="AH140" s="872">
        <f t="shared" si="25"/>
        <v>55.561111111111252</v>
      </c>
      <c r="AI140" s="872">
        <f t="shared" si="25"/>
        <v>41.861111111110759</v>
      </c>
      <c r="AJ140" s="872">
        <f t="shared" si="25"/>
        <v>47.950000000000941</v>
      </c>
      <c r="AK140" s="872">
        <f t="shared" si="25"/>
        <v>51.755555555555361</v>
      </c>
    </row>
    <row r="141" spans="1:37" ht="13.5" thickBot="1">
      <c r="A141" s="868"/>
      <c r="B141" s="868"/>
      <c r="C141" s="868"/>
      <c r="D141" s="873">
        <f t="shared" si="23"/>
        <v>0.38333333333333247</v>
      </c>
      <c r="E141" s="872">
        <f t="shared" si="24"/>
        <v>107.33333333333474</v>
      </c>
      <c r="F141" s="872">
        <f t="shared" si="24"/>
        <v>113.46666666666789</v>
      </c>
      <c r="G141" s="872">
        <f t="shared" si="24"/>
        <v>117.29999999999961</v>
      </c>
      <c r="H141" s="872">
        <f t="shared" si="24"/>
        <v>99.666666666665265</v>
      </c>
      <c r="I141" s="872">
        <f t="shared" si="24"/>
        <v>105.79999999999821</v>
      </c>
      <c r="J141" s="872">
        <f t="shared" si="24"/>
        <v>109.63333333333284</v>
      </c>
      <c r="K141" s="872">
        <f t="shared" si="24"/>
        <v>92.000000000001336</v>
      </c>
      <c r="L141" s="872">
        <f t="shared" si="24"/>
        <v>98.133333333333894</v>
      </c>
      <c r="M141" s="872">
        <f t="shared" si="24"/>
        <v>101.96666666666812</v>
      </c>
      <c r="N141" s="872">
        <f t="shared" si="24"/>
        <v>69</v>
      </c>
      <c r="O141" s="872">
        <f t="shared" si="24"/>
        <v>75.133333333331791</v>
      </c>
      <c r="P141" s="872">
        <f t="shared" si="24"/>
        <v>78.966666666666526</v>
      </c>
      <c r="Q141" s="872">
        <f t="shared" si="24"/>
        <v>65.166666666665265</v>
      </c>
      <c r="R141" s="872">
        <f t="shared" si="24"/>
        <v>71.299999999998619</v>
      </c>
      <c r="S141" s="872">
        <f t="shared" si="24"/>
        <v>75.133333333331791</v>
      </c>
      <c r="T141" s="872">
        <f t="shared" si="21"/>
        <v>61.333333333332675</v>
      </c>
      <c r="U141" s="872">
        <f t="shared" si="27"/>
        <v>67.466666666666868</v>
      </c>
      <c r="V141" s="872">
        <f t="shared" si="27"/>
        <v>71.299999999998619</v>
      </c>
      <c r="W141" s="872">
        <f t="shared" si="27"/>
        <v>57.499999999999801</v>
      </c>
      <c r="X141" s="872">
        <f t="shared" si="27"/>
        <v>63.633333333333894</v>
      </c>
      <c r="Y141" s="872">
        <f t="shared" si="27"/>
        <v>67.466666666666868</v>
      </c>
      <c r="Z141" s="872">
        <f t="shared" si="26"/>
        <v>53.666666666667368</v>
      </c>
      <c r="AA141" s="872">
        <f t="shared" si="26"/>
        <v>59.79999999999923</v>
      </c>
      <c r="AB141" s="872">
        <f t="shared" si="26"/>
        <v>63.633333333333894</v>
      </c>
      <c r="AC141" s="872">
        <f t="shared" si="26"/>
        <v>49.833333333332632</v>
      </c>
      <c r="AD141" s="872">
        <f t="shared" si="26"/>
        <v>55.966666666666811</v>
      </c>
      <c r="AE141" s="872">
        <f t="shared" si="25"/>
        <v>59.79999999999923</v>
      </c>
      <c r="AF141" s="872">
        <f t="shared" si="25"/>
        <v>46.000000000000668</v>
      </c>
      <c r="AG141" s="872">
        <f t="shared" si="25"/>
        <v>52.133333333333141</v>
      </c>
      <c r="AH141" s="872">
        <f t="shared" si="25"/>
        <v>55.966666666666811</v>
      </c>
      <c r="AI141" s="872">
        <f t="shared" si="25"/>
        <v>42.166666666666316</v>
      </c>
      <c r="AJ141" s="872">
        <f t="shared" si="25"/>
        <v>48.300000000000942</v>
      </c>
      <c r="AK141" s="872">
        <f t="shared" si="25"/>
        <v>52.133333333333141</v>
      </c>
    </row>
    <row r="142" spans="1:37" ht="13.5" thickBot="1">
      <c r="A142" s="868"/>
      <c r="B142" s="868"/>
      <c r="C142" s="868"/>
      <c r="D142" s="873">
        <f t="shared" si="23"/>
        <v>0.38611111111111024</v>
      </c>
      <c r="E142" s="872">
        <f t="shared" si="24"/>
        <v>108.11111111111251</v>
      </c>
      <c r="F142" s="872">
        <f t="shared" si="24"/>
        <v>114.28888888889011</v>
      </c>
      <c r="G142" s="872">
        <f t="shared" si="24"/>
        <v>118.14999999999961</v>
      </c>
      <c r="H142" s="872">
        <f t="shared" si="24"/>
        <v>100.38888888888749</v>
      </c>
      <c r="I142" s="872">
        <f t="shared" si="24"/>
        <v>106.56666666666487</v>
      </c>
      <c r="J142" s="872">
        <f t="shared" si="24"/>
        <v>110.42777777777729</v>
      </c>
      <c r="K142" s="872">
        <f t="shared" si="24"/>
        <v>92.666666666668007</v>
      </c>
      <c r="L142" s="872">
        <f t="shared" si="24"/>
        <v>98.844444444445003</v>
      </c>
      <c r="M142" s="872">
        <f t="shared" si="24"/>
        <v>102.70555555555701</v>
      </c>
      <c r="N142" s="872">
        <f t="shared" si="24"/>
        <v>69.5</v>
      </c>
      <c r="O142" s="872">
        <f t="shared" si="24"/>
        <v>75.677777777776242</v>
      </c>
      <c r="P142" s="872">
        <f t="shared" si="24"/>
        <v>79.538888888888749</v>
      </c>
      <c r="Q142" s="872">
        <f t="shared" si="24"/>
        <v>65.638888888887493</v>
      </c>
      <c r="R142" s="872">
        <f t="shared" si="24"/>
        <v>71.816666666665284</v>
      </c>
      <c r="S142" s="872">
        <f t="shared" si="24"/>
        <v>75.677777777776242</v>
      </c>
      <c r="T142" s="872">
        <f t="shared" si="21"/>
        <v>61.777777777777118</v>
      </c>
      <c r="U142" s="872">
        <f t="shared" si="27"/>
        <v>67.955555555555762</v>
      </c>
      <c r="V142" s="872">
        <f t="shared" si="27"/>
        <v>71.816666666665284</v>
      </c>
      <c r="W142" s="872">
        <f t="shared" si="27"/>
        <v>57.916666666666465</v>
      </c>
      <c r="X142" s="872">
        <f t="shared" si="27"/>
        <v>64.094444444445003</v>
      </c>
      <c r="Y142" s="872">
        <f t="shared" si="27"/>
        <v>67.955555555555762</v>
      </c>
      <c r="Z142" s="872">
        <f t="shared" si="26"/>
        <v>54.055555555556253</v>
      </c>
      <c r="AA142" s="872">
        <f t="shared" si="26"/>
        <v>60.23333333333256</v>
      </c>
      <c r="AB142" s="872">
        <f t="shared" si="26"/>
        <v>64.094444444445003</v>
      </c>
      <c r="AC142" s="872">
        <f t="shared" si="26"/>
        <v>50.194444444443747</v>
      </c>
      <c r="AD142" s="872">
        <f t="shared" si="26"/>
        <v>56.372222222222369</v>
      </c>
      <c r="AE142" s="872">
        <f t="shared" si="25"/>
        <v>60.23333333333256</v>
      </c>
      <c r="AF142" s="872">
        <f t="shared" si="25"/>
        <v>46.333333333334004</v>
      </c>
      <c r="AG142" s="872">
        <f t="shared" si="25"/>
        <v>52.511111111110921</v>
      </c>
      <c r="AH142" s="872">
        <f t="shared" si="25"/>
        <v>56.372222222222369</v>
      </c>
      <c r="AI142" s="872">
        <f t="shared" si="25"/>
        <v>42.472222222221873</v>
      </c>
      <c r="AJ142" s="872">
        <f t="shared" si="25"/>
        <v>48.650000000000944</v>
      </c>
      <c r="AK142" s="872">
        <f t="shared" si="25"/>
        <v>52.511111111110921</v>
      </c>
    </row>
    <row r="143" spans="1:37" ht="13.5" thickBot="1">
      <c r="A143" s="868"/>
      <c r="B143" s="868"/>
      <c r="C143" s="868"/>
      <c r="D143" s="873">
        <f t="shared" si="23"/>
        <v>0.38888888888888801</v>
      </c>
      <c r="E143" s="872">
        <f t="shared" si="24"/>
        <v>108.88888888889028</v>
      </c>
      <c r="F143" s="872">
        <f t="shared" si="24"/>
        <v>115.11111111111234</v>
      </c>
      <c r="G143" s="872">
        <f t="shared" si="24"/>
        <v>118.9999999999996</v>
      </c>
      <c r="H143" s="872">
        <f t="shared" si="24"/>
        <v>101.11111111110972</v>
      </c>
      <c r="I143" s="872">
        <f t="shared" si="24"/>
        <v>107.33333333333154</v>
      </c>
      <c r="J143" s="872">
        <f t="shared" si="24"/>
        <v>111.22222222222175</v>
      </c>
      <c r="K143" s="872">
        <f t="shared" si="24"/>
        <v>93.333333333334679</v>
      </c>
      <c r="L143" s="872">
        <f t="shared" si="24"/>
        <v>99.555555555556111</v>
      </c>
      <c r="M143" s="872">
        <f t="shared" si="24"/>
        <v>103.44444444444591</v>
      </c>
      <c r="N143" s="872">
        <f t="shared" si="24"/>
        <v>70</v>
      </c>
      <c r="O143" s="872">
        <f t="shared" si="24"/>
        <v>76.222222222220694</v>
      </c>
      <c r="P143" s="872">
        <f t="shared" si="24"/>
        <v>80.111111111110972</v>
      </c>
      <c r="Q143" s="872">
        <f t="shared" si="24"/>
        <v>66.111111111109722</v>
      </c>
      <c r="R143" s="872">
        <f t="shared" si="24"/>
        <v>72.33333333333195</v>
      </c>
      <c r="S143" s="872">
        <f t="shared" si="24"/>
        <v>76.222222222220694</v>
      </c>
      <c r="T143" s="872">
        <f t="shared" si="21"/>
        <v>62.222222222221561</v>
      </c>
      <c r="U143" s="872">
        <f t="shared" si="27"/>
        <v>68.444444444444656</v>
      </c>
      <c r="V143" s="872">
        <f t="shared" si="27"/>
        <v>72.33333333333195</v>
      </c>
      <c r="W143" s="872">
        <f t="shared" si="27"/>
        <v>58.33333333333313</v>
      </c>
      <c r="X143" s="872">
        <f t="shared" si="27"/>
        <v>64.555555555556111</v>
      </c>
      <c r="Y143" s="872">
        <f t="shared" si="27"/>
        <v>68.444444444444656</v>
      </c>
      <c r="Z143" s="872">
        <f t="shared" si="26"/>
        <v>54.444444444445139</v>
      </c>
      <c r="AA143" s="872">
        <f t="shared" si="26"/>
        <v>60.66666666666589</v>
      </c>
      <c r="AB143" s="872">
        <f t="shared" si="26"/>
        <v>64.555555555556111</v>
      </c>
      <c r="AC143" s="872">
        <f t="shared" si="26"/>
        <v>50.555555555554861</v>
      </c>
      <c r="AD143" s="872">
        <f t="shared" si="26"/>
        <v>56.777777777777928</v>
      </c>
      <c r="AE143" s="872">
        <f t="shared" si="25"/>
        <v>60.66666666666589</v>
      </c>
      <c r="AF143" s="872">
        <f t="shared" si="25"/>
        <v>46.666666666667339</v>
      </c>
      <c r="AG143" s="872">
        <f t="shared" si="25"/>
        <v>52.888888888888701</v>
      </c>
      <c r="AH143" s="872">
        <f t="shared" si="25"/>
        <v>56.777777777777928</v>
      </c>
      <c r="AI143" s="872">
        <f t="shared" si="25"/>
        <v>42.77777777777743</v>
      </c>
      <c r="AJ143" s="872">
        <f t="shared" si="25"/>
        <v>49.000000000000945</v>
      </c>
      <c r="AK143" s="872">
        <f t="shared" si="25"/>
        <v>52.888888888888701</v>
      </c>
    </row>
    <row r="144" spans="1:37" ht="13.5" thickBot="1">
      <c r="A144" s="868"/>
      <c r="B144" s="868"/>
      <c r="C144" s="868"/>
      <c r="D144" s="873">
        <f t="shared" si="23"/>
        <v>0.39166666666666577</v>
      </c>
      <c r="E144" s="872">
        <f t="shared" si="24"/>
        <v>109.66666666666805</v>
      </c>
      <c r="F144" s="872">
        <f t="shared" si="24"/>
        <v>115.93333333333456</v>
      </c>
      <c r="G144" s="872">
        <f t="shared" si="24"/>
        <v>119.8499999999996</v>
      </c>
      <c r="H144" s="872">
        <f t="shared" si="24"/>
        <v>101.83333333333195</v>
      </c>
      <c r="I144" s="872">
        <f t="shared" si="24"/>
        <v>108.0999999999982</v>
      </c>
      <c r="J144" s="872">
        <f t="shared" si="24"/>
        <v>112.0166666666662</v>
      </c>
      <c r="K144" s="872">
        <f t="shared" si="24"/>
        <v>94.00000000000135</v>
      </c>
      <c r="L144" s="872">
        <f t="shared" si="24"/>
        <v>100.26666666666722</v>
      </c>
      <c r="M144" s="872">
        <f t="shared" si="24"/>
        <v>104.1833333333348</v>
      </c>
      <c r="N144" s="872">
        <f t="shared" si="24"/>
        <v>70.5</v>
      </c>
      <c r="O144" s="872">
        <f t="shared" si="24"/>
        <v>76.766666666665145</v>
      </c>
      <c r="P144" s="872">
        <f t="shared" si="24"/>
        <v>80.683333333333195</v>
      </c>
      <c r="Q144" s="872">
        <f t="shared" si="24"/>
        <v>66.58333333333195</v>
      </c>
      <c r="R144" s="872">
        <f t="shared" si="24"/>
        <v>72.849999999998616</v>
      </c>
      <c r="S144" s="872">
        <f t="shared" si="24"/>
        <v>76.766666666665145</v>
      </c>
      <c r="T144" s="872">
        <f t="shared" si="21"/>
        <v>62.666666666666003</v>
      </c>
      <c r="U144" s="872">
        <f t="shared" si="27"/>
        <v>68.93333333333355</v>
      </c>
      <c r="V144" s="872">
        <f t="shared" si="27"/>
        <v>72.849999999998616</v>
      </c>
      <c r="W144" s="872">
        <f t="shared" si="27"/>
        <v>58.749999999999794</v>
      </c>
      <c r="X144" s="872">
        <f t="shared" si="27"/>
        <v>65.01666666666722</v>
      </c>
      <c r="Y144" s="872">
        <f t="shared" si="27"/>
        <v>68.93333333333355</v>
      </c>
      <c r="Z144" s="872">
        <f t="shared" si="26"/>
        <v>54.833333333334025</v>
      </c>
      <c r="AA144" s="872">
        <f t="shared" si="26"/>
        <v>61.09999999999922</v>
      </c>
      <c r="AB144" s="872">
        <f t="shared" si="26"/>
        <v>65.01666666666722</v>
      </c>
      <c r="AC144" s="872">
        <f t="shared" si="26"/>
        <v>50.916666666665975</v>
      </c>
      <c r="AD144" s="872">
        <f t="shared" si="26"/>
        <v>57.183333333333486</v>
      </c>
      <c r="AE144" s="872">
        <f t="shared" si="25"/>
        <v>61.09999999999922</v>
      </c>
      <c r="AF144" s="872">
        <f t="shared" si="25"/>
        <v>47.000000000000675</v>
      </c>
      <c r="AG144" s="872">
        <f t="shared" si="25"/>
        <v>53.266666666666481</v>
      </c>
      <c r="AH144" s="872">
        <f t="shared" si="25"/>
        <v>57.183333333333486</v>
      </c>
      <c r="AI144" s="872">
        <f t="shared" si="25"/>
        <v>43.083333333332988</v>
      </c>
      <c r="AJ144" s="872">
        <f t="shared" si="25"/>
        <v>49.350000000000946</v>
      </c>
      <c r="AK144" s="872">
        <f t="shared" si="25"/>
        <v>53.266666666666481</v>
      </c>
    </row>
    <row r="145" spans="1:37" ht="13.5" thickBot="1">
      <c r="A145" s="868"/>
      <c r="B145" s="868"/>
      <c r="C145" s="868"/>
      <c r="D145" s="873">
        <f t="shared" si="23"/>
        <v>0.39444444444444354</v>
      </c>
      <c r="E145" s="872">
        <f t="shared" si="24"/>
        <v>110.44444444444582</v>
      </c>
      <c r="F145" s="872">
        <f t="shared" si="24"/>
        <v>116.75555555555678</v>
      </c>
      <c r="G145" s="872">
        <f t="shared" si="24"/>
        <v>120.69999999999959</v>
      </c>
      <c r="H145" s="872">
        <f t="shared" si="24"/>
        <v>102.55555555555418</v>
      </c>
      <c r="I145" s="872">
        <f t="shared" si="24"/>
        <v>108.86666666666487</v>
      </c>
      <c r="J145" s="872">
        <f t="shared" si="24"/>
        <v>112.81111111111065</v>
      </c>
      <c r="K145" s="872">
        <f t="shared" si="24"/>
        <v>94.666666666668021</v>
      </c>
      <c r="L145" s="872">
        <f t="shared" si="24"/>
        <v>100.97777777777833</v>
      </c>
      <c r="M145" s="872">
        <f t="shared" si="24"/>
        <v>104.9222222222237</v>
      </c>
      <c r="N145" s="872">
        <f t="shared" si="24"/>
        <v>71</v>
      </c>
      <c r="O145" s="872">
        <f t="shared" si="24"/>
        <v>77.311111111109597</v>
      </c>
      <c r="P145" s="872">
        <f t="shared" si="24"/>
        <v>81.255555555555418</v>
      </c>
      <c r="Q145" s="872">
        <f t="shared" si="24"/>
        <v>67.055555555554179</v>
      </c>
      <c r="R145" s="872">
        <f t="shared" si="24"/>
        <v>73.366666666665282</v>
      </c>
      <c r="S145" s="872">
        <f t="shared" si="24"/>
        <v>77.311111111109597</v>
      </c>
      <c r="T145" s="872">
        <f t="shared" si="21"/>
        <v>63.111111111110446</v>
      </c>
      <c r="U145" s="872">
        <f t="shared" si="27"/>
        <v>69.422222222222445</v>
      </c>
      <c r="V145" s="872">
        <f t="shared" si="27"/>
        <v>73.366666666665282</v>
      </c>
      <c r="W145" s="872">
        <f t="shared" si="27"/>
        <v>59.166666666666458</v>
      </c>
      <c r="X145" s="872">
        <f t="shared" si="27"/>
        <v>65.477777777778329</v>
      </c>
      <c r="Y145" s="872">
        <f t="shared" si="27"/>
        <v>69.422222222222445</v>
      </c>
      <c r="Z145" s="872">
        <f t="shared" si="26"/>
        <v>55.222222222222911</v>
      </c>
      <c r="AA145" s="872">
        <f t="shared" si="26"/>
        <v>61.53333333333255</v>
      </c>
      <c r="AB145" s="872">
        <f t="shared" si="26"/>
        <v>65.477777777778329</v>
      </c>
      <c r="AC145" s="872">
        <f t="shared" si="26"/>
        <v>51.277777777777089</v>
      </c>
      <c r="AD145" s="872">
        <f t="shared" si="26"/>
        <v>57.588888888889045</v>
      </c>
      <c r="AE145" s="872">
        <f t="shared" si="25"/>
        <v>61.53333333333255</v>
      </c>
      <c r="AF145" s="872">
        <f t="shared" si="25"/>
        <v>47.333333333334011</v>
      </c>
      <c r="AG145" s="872">
        <f t="shared" si="25"/>
        <v>53.644444444444261</v>
      </c>
      <c r="AH145" s="872">
        <f t="shared" si="25"/>
        <v>57.588888888889045</v>
      </c>
      <c r="AI145" s="872">
        <f t="shared" si="25"/>
        <v>43.388888888888545</v>
      </c>
      <c r="AJ145" s="872">
        <f t="shared" si="25"/>
        <v>49.700000000000948</v>
      </c>
      <c r="AK145" s="872">
        <f t="shared" si="25"/>
        <v>53.644444444444261</v>
      </c>
    </row>
    <row r="146" spans="1:37" ht="13.5" thickBot="1">
      <c r="A146" s="868"/>
      <c r="B146" s="868"/>
      <c r="C146" s="868"/>
      <c r="D146" s="873">
        <f t="shared" si="23"/>
        <v>0.39722222222222131</v>
      </c>
      <c r="E146" s="872">
        <f t="shared" si="24"/>
        <v>111.22222222222359</v>
      </c>
      <c r="F146" s="872">
        <f t="shared" si="24"/>
        <v>117.577777777779</v>
      </c>
      <c r="G146" s="872">
        <f t="shared" si="24"/>
        <v>121.54999999999959</v>
      </c>
      <c r="H146" s="872">
        <f t="shared" si="24"/>
        <v>103.27777777777641</v>
      </c>
      <c r="I146" s="872">
        <f t="shared" si="24"/>
        <v>109.63333333333154</v>
      </c>
      <c r="J146" s="872">
        <f t="shared" si="24"/>
        <v>113.6055555555551</v>
      </c>
      <c r="K146" s="872">
        <f t="shared" si="24"/>
        <v>95.333333333334693</v>
      </c>
      <c r="L146" s="872">
        <f t="shared" si="24"/>
        <v>101.68888888888944</v>
      </c>
      <c r="M146" s="872">
        <f t="shared" si="24"/>
        <v>105.66111111111259</v>
      </c>
      <c r="N146" s="872">
        <f t="shared" si="24"/>
        <v>71.5</v>
      </c>
      <c r="O146" s="872">
        <f t="shared" si="24"/>
        <v>77.855555555554048</v>
      </c>
      <c r="P146" s="872">
        <f t="shared" si="24"/>
        <v>81.827777777777641</v>
      </c>
      <c r="Q146" s="872">
        <f t="shared" si="24"/>
        <v>67.527777777776407</v>
      </c>
      <c r="R146" s="872">
        <f t="shared" si="24"/>
        <v>73.883333333331947</v>
      </c>
      <c r="S146" s="872">
        <f t="shared" si="24"/>
        <v>77.855555555554048</v>
      </c>
      <c r="T146" s="872">
        <f t="shared" si="21"/>
        <v>63.555555555554889</v>
      </c>
      <c r="U146" s="872">
        <f t="shared" si="27"/>
        <v>69.911111111111339</v>
      </c>
      <c r="V146" s="872">
        <f t="shared" si="27"/>
        <v>73.883333333331947</v>
      </c>
      <c r="W146" s="872">
        <f t="shared" si="27"/>
        <v>59.583333333333123</v>
      </c>
      <c r="X146" s="872">
        <f t="shared" si="27"/>
        <v>65.938888888889437</v>
      </c>
      <c r="Y146" s="872">
        <f t="shared" si="27"/>
        <v>69.911111111111339</v>
      </c>
      <c r="Z146" s="872">
        <f t="shared" si="26"/>
        <v>55.611111111111796</v>
      </c>
      <c r="AA146" s="872">
        <f t="shared" si="26"/>
        <v>61.96666666666588</v>
      </c>
      <c r="AB146" s="872">
        <f t="shared" si="26"/>
        <v>65.938888888889437</v>
      </c>
      <c r="AC146" s="872">
        <f t="shared" si="26"/>
        <v>51.638888888888204</v>
      </c>
      <c r="AD146" s="872">
        <f t="shared" si="26"/>
        <v>57.994444444444603</v>
      </c>
      <c r="AE146" s="872">
        <f t="shared" si="25"/>
        <v>61.96666666666588</v>
      </c>
      <c r="AF146" s="872">
        <f t="shared" si="25"/>
        <v>47.666666666667346</v>
      </c>
      <c r="AG146" s="872">
        <f t="shared" si="25"/>
        <v>54.022222222222041</v>
      </c>
      <c r="AH146" s="872">
        <f t="shared" si="25"/>
        <v>57.994444444444603</v>
      </c>
      <c r="AI146" s="872">
        <f t="shared" si="25"/>
        <v>43.694444444444102</v>
      </c>
      <c r="AJ146" s="872">
        <f t="shared" si="25"/>
        <v>50.050000000000949</v>
      </c>
      <c r="AK146" s="872">
        <f t="shared" si="25"/>
        <v>54.022222222222041</v>
      </c>
    </row>
    <row r="147" spans="1:37" ht="13.5" thickBot="1">
      <c r="A147" s="868"/>
      <c r="B147" s="868"/>
      <c r="C147" s="868"/>
      <c r="D147" s="873">
        <f t="shared" si="23"/>
        <v>0.39999999999999908</v>
      </c>
      <c r="E147" s="872">
        <f t="shared" si="24"/>
        <v>112.00000000000136</v>
      </c>
      <c r="F147" s="872">
        <f t="shared" si="24"/>
        <v>118.40000000000123</v>
      </c>
      <c r="G147" s="872">
        <f t="shared" si="24"/>
        <v>122.39999999999958</v>
      </c>
      <c r="H147" s="872">
        <f t="shared" si="24"/>
        <v>103.99999999999864</v>
      </c>
      <c r="I147" s="872">
        <f t="shared" si="24"/>
        <v>110.3999999999982</v>
      </c>
      <c r="J147" s="872">
        <f t="shared" si="24"/>
        <v>114.39999999999955</v>
      </c>
      <c r="K147" s="872">
        <f t="shared" si="24"/>
        <v>96.000000000001364</v>
      </c>
      <c r="L147" s="872">
        <f t="shared" si="24"/>
        <v>102.40000000000055</v>
      </c>
      <c r="M147" s="872">
        <f t="shared" si="24"/>
        <v>106.40000000000148</v>
      </c>
      <c r="N147" s="872">
        <f t="shared" si="24"/>
        <v>72</v>
      </c>
      <c r="O147" s="872">
        <f t="shared" si="24"/>
        <v>78.399999999998499</v>
      </c>
      <c r="P147" s="872">
        <f t="shared" si="24"/>
        <v>82.399999999999864</v>
      </c>
      <c r="Q147" s="872">
        <f t="shared" si="24"/>
        <v>67.999999999998636</v>
      </c>
      <c r="R147" s="872">
        <f t="shared" si="24"/>
        <v>74.399999999998613</v>
      </c>
      <c r="S147" s="872">
        <f t="shared" si="24"/>
        <v>78.399999999998499</v>
      </c>
      <c r="T147" s="872">
        <f t="shared" si="21"/>
        <v>63.999999999999332</v>
      </c>
      <c r="U147" s="872">
        <f t="shared" si="27"/>
        <v>70.400000000000233</v>
      </c>
      <c r="V147" s="872">
        <f t="shared" si="27"/>
        <v>74.399999999998613</v>
      </c>
      <c r="W147" s="872">
        <f t="shared" si="27"/>
        <v>59.999999999999787</v>
      </c>
      <c r="X147" s="872">
        <f t="shared" si="27"/>
        <v>66.400000000000546</v>
      </c>
      <c r="Y147" s="872">
        <f t="shared" si="27"/>
        <v>70.400000000000233</v>
      </c>
      <c r="Z147" s="872">
        <f t="shared" si="26"/>
        <v>56.000000000000682</v>
      </c>
      <c r="AA147" s="872">
        <f t="shared" si="26"/>
        <v>62.39999999999921</v>
      </c>
      <c r="AB147" s="872">
        <f t="shared" si="26"/>
        <v>66.400000000000546</v>
      </c>
      <c r="AC147" s="872">
        <f t="shared" si="26"/>
        <v>51.999999999999318</v>
      </c>
      <c r="AD147" s="872">
        <f t="shared" si="26"/>
        <v>58.400000000000162</v>
      </c>
      <c r="AE147" s="872">
        <f t="shared" si="25"/>
        <v>62.39999999999921</v>
      </c>
      <c r="AF147" s="872">
        <f t="shared" si="25"/>
        <v>48.000000000000682</v>
      </c>
      <c r="AG147" s="872">
        <f t="shared" si="25"/>
        <v>54.399999999999821</v>
      </c>
      <c r="AH147" s="872">
        <f t="shared" si="25"/>
        <v>58.400000000000162</v>
      </c>
      <c r="AI147" s="872">
        <f t="shared" si="25"/>
        <v>43.999999999999659</v>
      </c>
      <c r="AJ147" s="872">
        <f t="shared" si="25"/>
        <v>50.400000000000951</v>
      </c>
      <c r="AK147" s="872">
        <f t="shared" si="25"/>
        <v>54.399999999999821</v>
      </c>
    </row>
    <row r="148" spans="1:37" ht="13.5" thickBot="1">
      <c r="A148" s="868"/>
      <c r="B148" s="868"/>
      <c r="C148" s="868"/>
      <c r="D148" s="873">
        <f t="shared" si="23"/>
        <v>0.40277777777777685</v>
      </c>
      <c r="E148" s="872">
        <f t="shared" si="24"/>
        <v>112.77777777777914</v>
      </c>
      <c r="F148" s="872">
        <f t="shared" si="24"/>
        <v>119.22222222222345</v>
      </c>
      <c r="G148" s="872">
        <f t="shared" si="24"/>
        <v>123.24999999999957</v>
      </c>
      <c r="H148" s="872">
        <f t="shared" si="24"/>
        <v>104.72222222222086</v>
      </c>
      <c r="I148" s="872">
        <f t="shared" si="24"/>
        <v>111.16666666666487</v>
      </c>
      <c r="J148" s="872">
        <f t="shared" si="24"/>
        <v>115.194444444444</v>
      </c>
      <c r="K148" s="872">
        <f t="shared" si="24"/>
        <v>96.666666666668036</v>
      </c>
      <c r="L148" s="872">
        <f t="shared" si="24"/>
        <v>103.11111111111165</v>
      </c>
      <c r="M148" s="872">
        <f t="shared" si="24"/>
        <v>107.13888888889038</v>
      </c>
      <c r="N148" s="872">
        <f t="shared" si="24"/>
        <v>72.5</v>
      </c>
      <c r="O148" s="872">
        <f t="shared" si="24"/>
        <v>78.944444444442951</v>
      </c>
      <c r="P148" s="872">
        <f t="shared" si="24"/>
        <v>82.972222222222086</v>
      </c>
      <c r="Q148" s="872">
        <f t="shared" si="24"/>
        <v>68.472222222220864</v>
      </c>
      <c r="R148" s="872">
        <f t="shared" si="24"/>
        <v>74.916666666665279</v>
      </c>
      <c r="S148" s="872">
        <f t="shared" si="24"/>
        <v>78.944444444442951</v>
      </c>
      <c r="T148" s="872">
        <f t="shared" si="24"/>
        <v>64.444444444443775</v>
      </c>
      <c r="U148" s="872">
        <f t="shared" ref="U148:AE183" si="28">U149-(U$363/360)</f>
        <v>70.888888888889127</v>
      </c>
      <c r="V148" s="872">
        <f t="shared" si="28"/>
        <v>74.916666666665279</v>
      </c>
      <c r="W148" s="872">
        <f t="shared" si="28"/>
        <v>60.416666666666451</v>
      </c>
      <c r="X148" s="872">
        <f t="shared" si="28"/>
        <v>66.861111111111654</v>
      </c>
      <c r="Y148" s="872">
        <f t="shared" si="28"/>
        <v>70.888888888889127</v>
      </c>
      <c r="Z148" s="872">
        <f t="shared" si="26"/>
        <v>56.388888888889568</v>
      </c>
      <c r="AA148" s="872">
        <f t="shared" si="26"/>
        <v>62.83333333333254</v>
      </c>
      <c r="AB148" s="872">
        <f t="shared" si="26"/>
        <v>66.861111111111654</v>
      </c>
      <c r="AC148" s="872">
        <f t="shared" si="26"/>
        <v>52.361111111110432</v>
      </c>
      <c r="AD148" s="872">
        <f t="shared" si="26"/>
        <v>58.805555555555721</v>
      </c>
      <c r="AE148" s="872">
        <f t="shared" si="25"/>
        <v>62.83333333333254</v>
      </c>
      <c r="AF148" s="872">
        <f t="shared" si="25"/>
        <v>48.333333333334018</v>
      </c>
      <c r="AG148" s="872">
        <f t="shared" si="25"/>
        <v>54.777777777777601</v>
      </c>
      <c r="AH148" s="872">
        <f t="shared" si="25"/>
        <v>58.805555555555721</v>
      </c>
      <c r="AI148" s="872">
        <f t="shared" si="25"/>
        <v>44.305555555555216</v>
      </c>
      <c r="AJ148" s="872">
        <f t="shared" si="25"/>
        <v>50.750000000000952</v>
      </c>
      <c r="AK148" s="872">
        <f t="shared" si="25"/>
        <v>54.777777777777601</v>
      </c>
    </row>
    <row r="149" spans="1:37" ht="13.5" thickBot="1">
      <c r="A149" s="868"/>
      <c r="B149" s="868"/>
      <c r="C149" s="868"/>
      <c r="D149" s="873">
        <f t="shared" si="23"/>
        <v>0.40555555555555461</v>
      </c>
      <c r="E149" s="872">
        <f t="shared" si="24"/>
        <v>113.55555555555691</v>
      </c>
      <c r="F149" s="872">
        <f t="shared" si="24"/>
        <v>120.04444444444567</v>
      </c>
      <c r="G149" s="872">
        <f t="shared" si="24"/>
        <v>124.09999999999957</v>
      </c>
      <c r="H149" s="872">
        <f t="shared" si="24"/>
        <v>105.44444444444309</v>
      </c>
      <c r="I149" s="872">
        <f t="shared" si="24"/>
        <v>111.93333333333153</v>
      </c>
      <c r="J149" s="872">
        <f t="shared" si="24"/>
        <v>115.98888888888845</v>
      </c>
      <c r="K149" s="872">
        <f t="shared" si="24"/>
        <v>97.333333333334707</v>
      </c>
      <c r="L149" s="872">
        <f t="shared" si="24"/>
        <v>103.82222222222276</v>
      </c>
      <c r="M149" s="872">
        <f t="shared" si="24"/>
        <v>107.87777777777927</v>
      </c>
      <c r="N149" s="872">
        <f t="shared" si="24"/>
        <v>73</v>
      </c>
      <c r="O149" s="872">
        <f t="shared" si="24"/>
        <v>79.488888888887402</v>
      </c>
      <c r="P149" s="872">
        <f t="shared" si="24"/>
        <v>83.544444444444309</v>
      </c>
      <c r="Q149" s="872">
        <f t="shared" si="24"/>
        <v>68.944444444443093</v>
      </c>
      <c r="R149" s="872">
        <f t="shared" si="24"/>
        <v>75.433333333331944</v>
      </c>
      <c r="S149" s="872">
        <f t="shared" si="24"/>
        <v>79.488888888887402</v>
      </c>
      <c r="T149" s="872">
        <f t="shared" si="24"/>
        <v>64.888888888888218</v>
      </c>
      <c r="U149" s="872">
        <f t="shared" si="28"/>
        <v>71.377777777778022</v>
      </c>
      <c r="V149" s="872">
        <f t="shared" si="28"/>
        <v>75.433333333331944</v>
      </c>
      <c r="W149" s="872">
        <f t="shared" si="28"/>
        <v>60.833333333333115</v>
      </c>
      <c r="X149" s="872">
        <f t="shared" si="28"/>
        <v>67.322222222222763</v>
      </c>
      <c r="Y149" s="872">
        <f t="shared" si="28"/>
        <v>71.377777777778022</v>
      </c>
      <c r="Z149" s="872">
        <f t="shared" si="26"/>
        <v>56.777777777778454</v>
      </c>
      <c r="AA149" s="872">
        <f t="shared" si="26"/>
        <v>63.26666666666587</v>
      </c>
      <c r="AB149" s="872">
        <f t="shared" si="26"/>
        <v>67.322222222222763</v>
      </c>
      <c r="AC149" s="872">
        <f t="shared" si="26"/>
        <v>52.722222222221546</v>
      </c>
      <c r="AD149" s="872">
        <f t="shared" si="26"/>
        <v>59.211111111111279</v>
      </c>
      <c r="AE149" s="872">
        <f t="shared" si="25"/>
        <v>63.26666666666587</v>
      </c>
      <c r="AF149" s="872">
        <f t="shared" si="25"/>
        <v>48.666666666667354</v>
      </c>
      <c r="AG149" s="872">
        <f t="shared" si="25"/>
        <v>55.155555555555381</v>
      </c>
      <c r="AH149" s="872">
        <f t="shared" si="25"/>
        <v>59.211111111111279</v>
      </c>
      <c r="AI149" s="872">
        <f t="shared" si="25"/>
        <v>44.611111111110773</v>
      </c>
      <c r="AJ149" s="872">
        <f t="shared" si="25"/>
        <v>51.100000000000954</v>
      </c>
      <c r="AK149" s="872">
        <f t="shared" si="25"/>
        <v>55.155555555555381</v>
      </c>
    </row>
    <row r="150" spans="1:37" ht="13.5" thickBot="1">
      <c r="A150" s="868"/>
      <c r="B150" s="868"/>
      <c r="C150" s="868"/>
      <c r="D150" s="873">
        <f t="shared" si="23"/>
        <v>0.40833333333333238</v>
      </c>
      <c r="E150" s="872">
        <f t="shared" si="24"/>
        <v>114.33333333333468</v>
      </c>
      <c r="F150" s="872">
        <f t="shared" si="24"/>
        <v>120.8666666666679</v>
      </c>
      <c r="G150" s="872">
        <f t="shared" si="24"/>
        <v>124.94999999999956</v>
      </c>
      <c r="H150" s="872">
        <f t="shared" si="24"/>
        <v>106.16666666666532</v>
      </c>
      <c r="I150" s="872">
        <f t="shared" si="24"/>
        <v>112.6999999999982</v>
      </c>
      <c r="J150" s="872">
        <f t="shared" si="24"/>
        <v>116.78333333333291</v>
      </c>
      <c r="K150" s="872">
        <f t="shared" si="24"/>
        <v>98.000000000001378</v>
      </c>
      <c r="L150" s="872">
        <f t="shared" si="24"/>
        <v>104.53333333333387</v>
      </c>
      <c r="M150" s="872">
        <f t="shared" si="24"/>
        <v>108.61666666666817</v>
      </c>
      <c r="N150" s="872">
        <f t="shared" si="24"/>
        <v>73.5</v>
      </c>
      <c r="O150" s="872">
        <f t="shared" si="24"/>
        <v>80.033333333331854</v>
      </c>
      <c r="P150" s="872">
        <f t="shared" si="24"/>
        <v>84.116666666666532</v>
      </c>
      <c r="Q150" s="872">
        <f t="shared" si="24"/>
        <v>69.416666666665321</v>
      </c>
      <c r="R150" s="872">
        <f>R151-(R$363/360)</f>
        <v>75.94999999999861</v>
      </c>
      <c r="S150" s="872">
        <f>S151-(S$363/360)</f>
        <v>80.033333333331854</v>
      </c>
      <c r="T150" s="872">
        <f>T151-(T$363/360)</f>
        <v>65.333333333332661</v>
      </c>
      <c r="U150" s="872">
        <f t="shared" si="28"/>
        <v>71.866666666666916</v>
      </c>
      <c r="V150" s="872">
        <f t="shared" si="28"/>
        <v>75.94999999999861</v>
      </c>
      <c r="W150" s="872">
        <f t="shared" si="28"/>
        <v>61.24999999999978</v>
      </c>
      <c r="X150" s="872">
        <f t="shared" si="28"/>
        <v>67.783333333333871</v>
      </c>
      <c r="Y150" s="872">
        <f t="shared" si="28"/>
        <v>71.866666666666916</v>
      </c>
      <c r="Z150" s="872">
        <f t="shared" si="26"/>
        <v>57.166666666667339</v>
      </c>
      <c r="AA150" s="872">
        <f t="shared" si="26"/>
        <v>63.6999999999992</v>
      </c>
      <c r="AB150" s="872">
        <f t="shared" si="26"/>
        <v>67.783333333333871</v>
      </c>
      <c r="AC150" s="872">
        <f t="shared" si="26"/>
        <v>53.083333333332661</v>
      </c>
      <c r="AD150" s="872">
        <f t="shared" si="26"/>
        <v>59.616666666666838</v>
      </c>
      <c r="AE150" s="872">
        <f t="shared" si="25"/>
        <v>63.6999999999992</v>
      </c>
      <c r="AF150" s="872">
        <f t="shared" si="25"/>
        <v>49.000000000000689</v>
      </c>
      <c r="AG150" s="872">
        <f t="shared" si="25"/>
        <v>55.533333333333161</v>
      </c>
      <c r="AH150" s="872">
        <f t="shared" si="25"/>
        <v>59.616666666666838</v>
      </c>
      <c r="AI150" s="872">
        <f t="shared" si="25"/>
        <v>44.91666666666633</v>
      </c>
      <c r="AJ150" s="872">
        <f t="shared" si="25"/>
        <v>51.450000000000955</v>
      </c>
      <c r="AK150" s="872">
        <f t="shared" si="25"/>
        <v>55.533333333333161</v>
      </c>
    </row>
    <row r="151" spans="1:37" ht="13.5" thickBot="1">
      <c r="A151" s="868"/>
      <c r="B151" s="868"/>
      <c r="C151" s="868"/>
      <c r="D151" s="873">
        <f t="shared" si="23"/>
        <v>0.41111111111111015</v>
      </c>
      <c r="E151" s="872">
        <f t="shared" ref="E151:S167" si="29">E152-(E$363/360)</f>
        <v>115.11111111111245</v>
      </c>
      <c r="F151" s="872">
        <f t="shared" si="29"/>
        <v>121.68888888889012</v>
      </c>
      <c r="G151" s="872">
        <f t="shared" si="29"/>
        <v>125.79999999999956</v>
      </c>
      <c r="H151" s="872">
        <f t="shared" si="29"/>
        <v>106.88888888888755</v>
      </c>
      <c r="I151" s="872">
        <f t="shared" si="29"/>
        <v>113.46666666666486</v>
      </c>
      <c r="J151" s="872">
        <f t="shared" si="29"/>
        <v>117.57777777777736</v>
      </c>
      <c r="K151" s="872">
        <f t="shared" si="29"/>
        <v>98.66666666666805</v>
      </c>
      <c r="L151" s="872">
        <f t="shared" si="29"/>
        <v>105.24444444444498</v>
      </c>
      <c r="M151" s="872">
        <f t="shared" si="29"/>
        <v>109.35555555555706</v>
      </c>
      <c r="N151" s="872">
        <f t="shared" si="29"/>
        <v>74</v>
      </c>
      <c r="O151" s="872">
        <f t="shared" si="29"/>
        <v>80.577777777776305</v>
      </c>
      <c r="P151" s="872">
        <f t="shared" si="29"/>
        <v>84.688888888888755</v>
      </c>
      <c r="Q151" s="872">
        <f t="shared" si="29"/>
        <v>69.88888888888755</v>
      </c>
      <c r="R151" s="872">
        <f t="shared" si="29"/>
        <v>76.466666666665276</v>
      </c>
      <c r="S151" s="872">
        <f t="shared" si="29"/>
        <v>80.577777777776305</v>
      </c>
      <c r="T151" s="872">
        <f t="shared" ref="T151:T168" si="30">T152-(T$363/360)</f>
        <v>65.777777777777104</v>
      </c>
      <c r="U151" s="872">
        <f t="shared" si="28"/>
        <v>72.35555555555581</v>
      </c>
      <c r="V151" s="872">
        <f t="shared" si="28"/>
        <v>76.466666666665276</v>
      </c>
      <c r="W151" s="872">
        <f t="shared" si="28"/>
        <v>61.666666666666444</v>
      </c>
      <c r="X151" s="872">
        <f t="shared" si="28"/>
        <v>68.24444444444498</v>
      </c>
      <c r="Y151" s="872">
        <f t="shared" si="28"/>
        <v>72.35555555555581</v>
      </c>
      <c r="Z151" s="872">
        <f t="shared" si="26"/>
        <v>57.555555555556225</v>
      </c>
      <c r="AA151" s="872">
        <f t="shared" si="26"/>
        <v>64.13333333333253</v>
      </c>
      <c r="AB151" s="872">
        <f t="shared" si="26"/>
        <v>68.24444444444498</v>
      </c>
      <c r="AC151" s="872">
        <f t="shared" si="26"/>
        <v>53.444444444443775</v>
      </c>
      <c r="AD151" s="872">
        <f t="shared" si="26"/>
        <v>60.022222222222396</v>
      </c>
      <c r="AE151" s="872">
        <f t="shared" si="25"/>
        <v>64.13333333333253</v>
      </c>
      <c r="AF151" s="872">
        <f t="shared" si="25"/>
        <v>49.333333333334025</v>
      </c>
      <c r="AG151" s="872">
        <f t="shared" si="25"/>
        <v>55.911111111110941</v>
      </c>
      <c r="AH151" s="872">
        <f t="shared" si="25"/>
        <v>60.022222222222396</v>
      </c>
      <c r="AI151" s="872">
        <f t="shared" si="25"/>
        <v>45.222222222221887</v>
      </c>
      <c r="AJ151" s="872">
        <f t="shared" si="25"/>
        <v>51.800000000000956</v>
      </c>
      <c r="AK151" s="872">
        <f t="shared" si="25"/>
        <v>55.911111111110941</v>
      </c>
    </row>
    <row r="152" spans="1:37" ht="13.5" thickBot="1">
      <c r="A152" s="868"/>
      <c r="B152" s="868"/>
      <c r="C152" s="868"/>
      <c r="D152" s="873">
        <f t="shared" si="23"/>
        <v>0.41388888888888792</v>
      </c>
      <c r="E152" s="872">
        <f t="shared" si="29"/>
        <v>115.88888888889022</v>
      </c>
      <c r="F152" s="872">
        <f t="shared" si="29"/>
        <v>122.51111111111234</v>
      </c>
      <c r="G152" s="872">
        <f t="shared" si="29"/>
        <v>126.64999999999955</v>
      </c>
      <c r="H152" s="872">
        <f t="shared" si="29"/>
        <v>107.61111111110978</v>
      </c>
      <c r="I152" s="872">
        <f t="shared" si="29"/>
        <v>114.23333333333153</v>
      </c>
      <c r="J152" s="872">
        <f t="shared" si="29"/>
        <v>118.37222222222181</v>
      </c>
      <c r="K152" s="872">
        <f t="shared" si="29"/>
        <v>99.333333333334721</v>
      </c>
      <c r="L152" s="872">
        <f t="shared" si="29"/>
        <v>105.95555555555609</v>
      </c>
      <c r="M152" s="872">
        <f t="shared" si="29"/>
        <v>110.09444444444595</v>
      </c>
      <c r="N152" s="872">
        <f t="shared" si="29"/>
        <v>74.5</v>
      </c>
      <c r="O152" s="872">
        <f t="shared" si="29"/>
        <v>81.122222222220756</v>
      </c>
      <c r="P152" s="872">
        <f t="shared" si="29"/>
        <v>85.261111111110978</v>
      </c>
      <c r="Q152" s="872">
        <f t="shared" si="29"/>
        <v>70.361111111109778</v>
      </c>
      <c r="R152" s="872">
        <f t="shared" si="29"/>
        <v>76.983333333331942</v>
      </c>
      <c r="S152" s="872">
        <f t="shared" si="29"/>
        <v>81.122222222220756</v>
      </c>
      <c r="T152" s="872">
        <f t="shared" si="30"/>
        <v>66.222222222221546</v>
      </c>
      <c r="U152" s="872">
        <f t="shared" si="28"/>
        <v>72.844444444444704</v>
      </c>
      <c r="V152" s="872">
        <f t="shared" si="28"/>
        <v>76.983333333331942</v>
      </c>
      <c r="W152" s="872">
        <f t="shared" si="28"/>
        <v>62.083333333333108</v>
      </c>
      <c r="X152" s="872">
        <f t="shared" si="28"/>
        <v>68.705555555556089</v>
      </c>
      <c r="Y152" s="872">
        <f t="shared" si="28"/>
        <v>72.844444444444704</v>
      </c>
      <c r="Z152" s="872">
        <f t="shared" si="26"/>
        <v>57.944444444445111</v>
      </c>
      <c r="AA152" s="872">
        <f t="shared" si="26"/>
        <v>64.566666666665867</v>
      </c>
      <c r="AB152" s="872">
        <f t="shared" si="26"/>
        <v>68.705555555556089</v>
      </c>
      <c r="AC152" s="872">
        <f t="shared" si="26"/>
        <v>53.805555555554889</v>
      </c>
      <c r="AD152" s="872">
        <f t="shared" si="26"/>
        <v>60.427777777777955</v>
      </c>
      <c r="AE152" s="872">
        <f t="shared" si="25"/>
        <v>64.566666666665867</v>
      </c>
      <c r="AF152" s="872">
        <f t="shared" si="25"/>
        <v>49.666666666667361</v>
      </c>
      <c r="AG152" s="872">
        <f t="shared" si="25"/>
        <v>56.288888888888721</v>
      </c>
      <c r="AH152" s="872">
        <f t="shared" si="25"/>
        <v>60.427777777777955</v>
      </c>
      <c r="AI152" s="872">
        <f t="shared" si="25"/>
        <v>45.527777777777445</v>
      </c>
      <c r="AJ152" s="872">
        <f t="shared" si="25"/>
        <v>52.150000000000958</v>
      </c>
      <c r="AK152" s="872">
        <f t="shared" si="25"/>
        <v>56.288888888888721</v>
      </c>
    </row>
    <row r="153" spans="1:37" ht="13.5" thickBot="1">
      <c r="A153" s="868"/>
      <c r="B153" s="868"/>
      <c r="C153" s="868"/>
      <c r="D153" s="873">
        <f t="shared" si="23"/>
        <v>0.41666666666666569</v>
      </c>
      <c r="E153" s="872">
        <f t="shared" si="29"/>
        <v>116.66666666666799</v>
      </c>
      <c r="F153" s="872">
        <f t="shared" si="29"/>
        <v>123.33333333333456</v>
      </c>
      <c r="G153" s="872">
        <f t="shared" si="29"/>
        <v>127.49999999999955</v>
      </c>
      <c r="H153" s="872">
        <f t="shared" si="29"/>
        <v>108.33333333333201</v>
      </c>
      <c r="I153" s="872">
        <f t="shared" si="29"/>
        <v>114.9999999999982</v>
      </c>
      <c r="J153" s="872">
        <f t="shared" si="29"/>
        <v>119.16666666666626</v>
      </c>
      <c r="K153" s="872">
        <f t="shared" si="29"/>
        <v>100.00000000000139</v>
      </c>
      <c r="L153" s="872">
        <f t="shared" si="29"/>
        <v>106.6666666666672</v>
      </c>
      <c r="M153" s="872">
        <f t="shared" si="29"/>
        <v>110.83333333333485</v>
      </c>
      <c r="N153" s="872">
        <f t="shared" si="29"/>
        <v>75</v>
      </c>
      <c r="O153" s="872">
        <f t="shared" si="29"/>
        <v>81.666666666665208</v>
      </c>
      <c r="P153" s="872">
        <f t="shared" si="29"/>
        <v>85.833333333333201</v>
      </c>
      <c r="Q153" s="872">
        <f t="shared" si="29"/>
        <v>70.833333333332007</v>
      </c>
      <c r="R153" s="872">
        <f t="shared" si="29"/>
        <v>77.499999999998607</v>
      </c>
      <c r="S153" s="872">
        <f t="shared" si="29"/>
        <v>81.666666666665208</v>
      </c>
      <c r="T153" s="872">
        <f t="shared" si="30"/>
        <v>66.666666666665989</v>
      </c>
      <c r="U153" s="872">
        <f t="shared" si="28"/>
        <v>73.333333333333599</v>
      </c>
      <c r="V153" s="872">
        <f t="shared" si="28"/>
        <v>77.499999999998607</v>
      </c>
      <c r="W153" s="872">
        <f t="shared" si="28"/>
        <v>62.499999999999773</v>
      </c>
      <c r="X153" s="872">
        <f t="shared" si="28"/>
        <v>69.166666666667197</v>
      </c>
      <c r="Y153" s="872">
        <f t="shared" si="28"/>
        <v>73.333333333333599</v>
      </c>
      <c r="Z153" s="872">
        <f t="shared" si="26"/>
        <v>58.333333333333997</v>
      </c>
      <c r="AA153" s="872">
        <f t="shared" si="26"/>
        <v>64.999999999999204</v>
      </c>
      <c r="AB153" s="872">
        <f t="shared" si="26"/>
        <v>69.166666666667197</v>
      </c>
      <c r="AC153" s="872">
        <f t="shared" si="26"/>
        <v>54.166666666666003</v>
      </c>
      <c r="AD153" s="872">
        <f t="shared" si="26"/>
        <v>60.833333333333513</v>
      </c>
      <c r="AE153" s="872">
        <f t="shared" si="25"/>
        <v>64.999999999999204</v>
      </c>
      <c r="AF153" s="872">
        <f t="shared" si="25"/>
        <v>50.000000000000696</v>
      </c>
      <c r="AG153" s="872">
        <f t="shared" si="25"/>
        <v>56.666666666666501</v>
      </c>
      <c r="AH153" s="872">
        <f t="shared" si="25"/>
        <v>60.833333333333513</v>
      </c>
      <c r="AI153" s="872">
        <f t="shared" si="25"/>
        <v>45.833333333333002</v>
      </c>
      <c r="AJ153" s="872">
        <f t="shared" si="25"/>
        <v>52.500000000000959</v>
      </c>
      <c r="AK153" s="872">
        <f t="shared" si="25"/>
        <v>56.666666666666501</v>
      </c>
    </row>
    <row r="154" spans="1:37" ht="13.5" thickBot="1">
      <c r="A154" s="868"/>
      <c r="B154" s="868"/>
      <c r="C154" s="868"/>
      <c r="D154" s="873">
        <f t="shared" si="23"/>
        <v>0.41944444444444345</v>
      </c>
      <c r="E154" s="872">
        <f t="shared" si="29"/>
        <v>117.44444444444576</v>
      </c>
      <c r="F154" s="872">
        <f t="shared" si="29"/>
        <v>124.15555555555679</v>
      </c>
      <c r="G154" s="872">
        <f t="shared" si="29"/>
        <v>128.34999999999954</v>
      </c>
      <c r="H154" s="872">
        <f t="shared" si="29"/>
        <v>109.05555555555424</v>
      </c>
      <c r="I154" s="872">
        <f t="shared" si="29"/>
        <v>115.76666666666486</v>
      </c>
      <c r="J154" s="872">
        <f t="shared" si="29"/>
        <v>119.96111111111071</v>
      </c>
      <c r="K154" s="872">
        <f t="shared" si="29"/>
        <v>100.66666666666806</v>
      </c>
      <c r="L154" s="872">
        <f t="shared" si="29"/>
        <v>107.37777777777831</v>
      </c>
      <c r="M154" s="872">
        <f t="shared" si="29"/>
        <v>111.57222222222374</v>
      </c>
      <c r="N154" s="872">
        <f t="shared" si="29"/>
        <v>75.5</v>
      </c>
      <c r="O154" s="872">
        <f t="shared" si="29"/>
        <v>82.211111111109659</v>
      </c>
      <c r="P154" s="872">
        <f t="shared" si="29"/>
        <v>86.405555555555424</v>
      </c>
      <c r="Q154" s="872">
        <f t="shared" si="29"/>
        <v>71.305555555554236</v>
      </c>
      <c r="R154" s="872">
        <f t="shared" si="29"/>
        <v>78.016666666665273</v>
      </c>
      <c r="S154" s="872">
        <f t="shared" si="29"/>
        <v>82.211111111109659</v>
      </c>
      <c r="T154" s="872">
        <f t="shared" si="30"/>
        <v>67.111111111110432</v>
      </c>
      <c r="U154" s="872">
        <f t="shared" si="28"/>
        <v>73.822222222222493</v>
      </c>
      <c r="V154" s="872">
        <f t="shared" si="28"/>
        <v>78.016666666665273</v>
      </c>
      <c r="W154" s="872">
        <f t="shared" si="28"/>
        <v>62.916666666666437</v>
      </c>
      <c r="X154" s="872">
        <f t="shared" si="28"/>
        <v>69.627777777778306</v>
      </c>
      <c r="Y154" s="872">
        <f t="shared" si="28"/>
        <v>73.822222222222493</v>
      </c>
      <c r="Z154" s="872">
        <f t="shared" si="26"/>
        <v>58.722222222222882</v>
      </c>
      <c r="AA154" s="872">
        <f t="shared" si="26"/>
        <v>65.433333333332541</v>
      </c>
      <c r="AB154" s="872">
        <f t="shared" si="26"/>
        <v>69.627777777778306</v>
      </c>
      <c r="AC154" s="872">
        <f t="shared" si="26"/>
        <v>54.527777777777118</v>
      </c>
      <c r="AD154" s="872">
        <f t="shared" si="26"/>
        <v>61.238888888889072</v>
      </c>
      <c r="AE154" s="872">
        <f t="shared" si="25"/>
        <v>65.433333333332541</v>
      </c>
      <c r="AF154" s="872">
        <f t="shared" si="25"/>
        <v>50.333333333334032</v>
      </c>
      <c r="AG154" s="872">
        <f t="shared" si="25"/>
        <v>57.044444444444281</v>
      </c>
      <c r="AH154" s="872">
        <f t="shared" si="25"/>
        <v>61.238888888889072</v>
      </c>
      <c r="AI154" s="872">
        <f t="shared" si="25"/>
        <v>46.138888888888559</v>
      </c>
      <c r="AJ154" s="872">
        <f t="shared" si="25"/>
        <v>52.850000000000961</v>
      </c>
      <c r="AK154" s="872">
        <f t="shared" si="25"/>
        <v>57.044444444444281</v>
      </c>
    </row>
    <row r="155" spans="1:37" ht="13.5" thickBot="1">
      <c r="A155" s="868"/>
      <c r="B155" s="868"/>
      <c r="C155" s="868"/>
      <c r="D155" s="873">
        <f t="shared" si="23"/>
        <v>0.42222222222222122</v>
      </c>
      <c r="E155" s="872">
        <f t="shared" si="29"/>
        <v>118.22222222222354</v>
      </c>
      <c r="F155" s="872">
        <f t="shared" si="29"/>
        <v>124.97777777777901</v>
      </c>
      <c r="G155" s="872">
        <f t="shared" si="29"/>
        <v>129.19999999999953</v>
      </c>
      <c r="H155" s="872">
        <f t="shared" si="29"/>
        <v>109.77777777777646</v>
      </c>
      <c r="I155" s="872">
        <f t="shared" si="29"/>
        <v>116.53333333333153</v>
      </c>
      <c r="J155" s="872">
        <f t="shared" si="29"/>
        <v>120.75555555555516</v>
      </c>
      <c r="K155" s="872">
        <f t="shared" si="29"/>
        <v>101.33333333333474</v>
      </c>
      <c r="L155" s="872">
        <f t="shared" si="29"/>
        <v>108.08888888888941</v>
      </c>
      <c r="M155" s="872">
        <f t="shared" si="29"/>
        <v>112.31111111111264</v>
      </c>
      <c r="N155" s="872">
        <f t="shared" si="29"/>
        <v>76</v>
      </c>
      <c r="O155" s="872">
        <f t="shared" si="29"/>
        <v>82.75555555555411</v>
      </c>
      <c r="P155" s="872">
        <f t="shared" si="29"/>
        <v>86.977777777777646</v>
      </c>
      <c r="Q155" s="872">
        <f t="shared" si="29"/>
        <v>71.777777777776464</v>
      </c>
      <c r="R155" s="872">
        <f t="shared" si="29"/>
        <v>78.533333333331939</v>
      </c>
      <c r="S155" s="872">
        <f t="shared" si="29"/>
        <v>82.75555555555411</v>
      </c>
      <c r="T155" s="872">
        <f t="shared" si="30"/>
        <v>67.555555555554875</v>
      </c>
      <c r="U155" s="872">
        <f t="shared" si="28"/>
        <v>74.311111111111387</v>
      </c>
      <c r="V155" s="872">
        <f t="shared" si="28"/>
        <v>78.533333333331939</v>
      </c>
      <c r="W155" s="872">
        <f t="shared" si="28"/>
        <v>63.333333333333101</v>
      </c>
      <c r="X155" s="872">
        <f t="shared" si="28"/>
        <v>70.088888888889414</v>
      </c>
      <c r="Y155" s="872">
        <f t="shared" si="28"/>
        <v>74.311111111111387</v>
      </c>
      <c r="Z155" s="872">
        <f t="shared" si="26"/>
        <v>59.111111111111768</v>
      </c>
      <c r="AA155" s="872">
        <f t="shared" si="26"/>
        <v>65.866666666665878</v>
      </c>
      <c r="AB155" s="872">
        <f t="shared" si="26"/>
        <v>70.088888888889414</v>
      </c>
      <c r="AC155" s="872">
        <f t="shared" si="26"/>
        <v>54.888888888888232</v>
      </c>
      <c r="AD155" s="872">
        <f t="shared" si="26"/>
        <v>61.64444444444463</v>
      </c>
      <c r="AE155" s="872">
        <f t="shared" si="25"/>
        <v>65.866666666665878</v>
      </c>
      <c r="AF155" s="872">
        <f t="shared" si="25"/>
        <v>50.666666666667368</v>
      </c>
      <c r="AG155" s="872">
        <f t="shared" si="25"/>
        <v>57.422222222222061</v>
      </c>
      <c r="AH155" s="872">
        <f t="shared" si="25"/>
        <v>61.64444444444463</v>
      </c>
      <c r="AI155" s="872">
        <f t="shared" si="25"/>
        <v>46.444444444444116</v>
      </c>
      <c r="AJ155" s="872">
        <f t="shared" si="25"/>
        <v>53.200000000000962</v>
      </c>
      <c r="AK155" s="872">
        <f t="shared" si="25"/>
        <v>57.422222222222061</v>
      </c>
    </row>
    <row r="156" spans="1:37" ht="13.5" thickBot="1">
      <c r="A156" s="868"/>
      <c r="B156" s="868"/>
      <c r="C156" s="868"/>
      <c r="D156" s="873">
        <f t="shared" si="23"/>
        <v>0.42499999999999899</v>
      </c>
      <c r="E156" s="872">
        <f t="shared" si="29"/>
        <v>119.00000000000131</v>
      </c>
      <c r="F156" s="872">
        <f t="shared" si="29"/>
        <v>125.80000000000123</v>
      </c>
      <c r="G156" s="872">
        <f t="shared" si="29"/>
        <v>130.04999999999953</v>
      </c>
      <c r="H156" s="872">
        <f t="shared" si="29"/>
        <v>110.49999999999869</v>
      </c>
      <c r="I156" s="872">
        <f t="shared" si="29"/>
        <v>117.29999999999819</v>
      </c>
      <c r="J156" s="872">
        <f t="shared" si="29"/>
        <v>121.54999999999961</v>
      </c>
      <c r="K156" s="872">
        <f t="shared" si="29"/>
        <v>102.00000000000141</v>
      </c>
      <c r="L156" s="872">
        <f t="shared" si="29"/>
        <v>108.80000000000052</v>
      </c>
      <c r="M156" s="872">
        <f t="shared" si="29"/>
        <v>113.05000000000153</v>
      </c>
      <c r="N156" s="872">
        <f t="shared" si="29"/>
        <v>76.5</v>
      </c>
      <c r="O156" s="872">
        <f t="shared" si="29"/>
        <v>83.299999999998562</v>
      </c>
      <c r="P156" s="872">
        <f t="shared" si="29"/>
        <v>87.549999999999869</v>
      </c>
      <c r="Q156" s="872">
        <f t="shared" si="29"/>
        <v>72.249999999998693</v>
      </c>
      <c r="R156" s="872">
        <f t="shared" si="29"/>
        <v>79.049999999998604</v>
      </c>
      <c r="S156" s="872">
        <f t="shared" si="29"/>
        <v>83.299999999998562</v>
      </c>
      <c r="T156" s="872">
        <f t="shared" si="30"/>
        <v>67.999999999999318</v>
      </c>
      <c r="U156" s="872">
        <f t="shared" si="28"/>
        <v>74.800000000000281</v>
      </c>
      <c r="V156" s="872">
        <f t="shared" si="28"/>
        <v>79.049999999998604</v>
      </c>
      <c r="W156" s="872">
        <f t="shared" si="28"/>
        <v>63.749999999999766</v>
      </c>
      <c r="X156" s="872">
        <f t="shared" si="28"/>
        <v>70.550000000000523</v>
      </c>
      <c r="Y156" s="872">
        <f t="shared" si="28"/>
        <v>74.800000000000281</v>
      </c>
      <c r="Z156" s="872">
        <f t="shared" si="26"/>
        <v>59.500000000000654</v>
      </c>
      <c r="AA156" s="872">
        <f t="shared" si="26"/>
        <v>66.299999999999216</v>
      </c>
      <c r="AB156" s="872">
        <f t="shared" si="26"/>
        <v>70.550000000000523</v>
      </c>
      <c r="AC156" s="872">
        <f t="shared" si="26"/>
        <v>55.249999999999346</v>
      </c>
      <c r="AD156" s="872">
        <f t="shared" si="26"/>
        <v>62.050000000000189</v>
      </c>
      <c r="AE156" s="872">
        <f t="shared" si="25"/>
        <v>66.299999999999216</v>
      </c>
      <c r="AF156" s="872">
        <f t="shared" si="25"/>
        <v>51.000000000000703</v>
      </c>
      <c r="AG156" s="872">
        <f t="shared" si="25"/>
        <v>57.799999999999841</v>
      </c>
      <c r="AH156" s="872">
        <f t="shared" si="25"/>
        <v>62.050000000000189</v>
      </c>
      <c r="AI156" s="872">
        <f t="shared" si="25"/>
        <v>46.749999999999673</v>
      </c>
      <c r="AJ156" s="872">
        <f t="shared" si="25"/>
        <v>53.550000000000963</v>
      </c>
      <c r="AK156" s="872">
        <f t="shared" si="25"/>
        <v>57.799999999999841</v>
      </c>
    </row>
    <row r="157" spans="1:37" ht="13.5" thickBot="1">
      <c r="A157" s="868"/>
      <c r="B157" s="868"/>
      <c r="C157" s="868"/>
      <c r="D157" s="873">
        <f t="shared" si="23"/>
        <v>0.42777777777777676</v>
      </c>
      <c r="E157" s="872">
        <f t="shared" si="29"/>
        <v>119.77777777777908</v>
      </c>
      <c r="F157" s="872">
        <f t="shared" si="29"/>
        <v>126.62222222222346</v>
      </c>
      <c r="G157" s="872">
        <f t="shared" si="29"/>
        <v>130.89999999999952</v>
      </c>
      <c r="H157" s="872">
        <f t="shared" si="29"/>
        <v>111.22222222222092</v>
      </c>
      <c r="I157" s="872">
        <f t="shared" si="29"/>
        <v>118.06666666666486</v>
      </c>
      <c r="J157" s="872">
        <f t="shared" si="29"/>
        <v>122.34444444444406</v>
      </c>
      <c r="K157" s="872">
        <f t="shared" si="29"/>
        <v>102.66666666666808</v>
      </c>
      <c r="L157" s="872">
        <f t="shared" si="29"/>
        <v>109.51111111111163</v>
      </c>
      <c r="M157" s="872">
        <f t="shared" si="29"/>
        <v>113.78888888889043</v>
      </c>
      <c r="N157" s="872">
        <f t="shared" si="29"/>
        <v>77</v>
      </c>
      <c r="O157" s="872">
        <f t="shared" si="29"/>
        <v>83.844444444443013</v>
      </c>
      <c r="P157" s="872">
        <f t="shared" si="29"/>
        <v>88.122222222222092</v>
      </c>
      <c r="Q157" s="872">
        <f t="shared" si="29"/>
        <v>72.722222222220921</v>
      </c>
      <c r="R157" s="872">
        <f t="shared" si="29"/>
        <v>79.56666666666527</v>
      </c>
      <c r="S157" s="872">
        <f t="shared" si="29"/>
        <v>83.844444444443013</v>
      </c>
      <c r="T157" s="872">
        <f t="shared" si="30"/>
        <v>68.444444444443761</v>
      </c>
      <c r="U157" s="872">
        <f t="shared" si="28"/>
        <v>75.288888888889176</v>
      </c>
      <c r="V157" s="872">
        <f t="shared" si="28"/>
        <v>79.56666666666527</v>
      </c>
      <c r="W157" s="872">
        <f t="shared" si="28"/>
        <v>64.16666666666643</v>
      </c>
      <c r="X157" s="872">
        <f t="shared" si="28"/>
        <v>71.011111111111632</v>
      </c>
      <c r="Y157" s="872">
        <f t="shared" si="28"/>
        <v>75.288888888889176</v>
      </c>
      <c r="Z157" s="872">
        <f t="shared" si="26"/>
        <v>59.888888888889539</v>
      </c>
      <c r="AA157" s="872">
        <f t="shared" si="26"/>
        <v>66.733333333332553</v>
      </c>
      <c r="AB157" s="872">
        <f t="shared" si="26"/>
        <v>71.011111111111632</v>
      </c>
      <c r="AC157" s="872">
        <f t="shared" si="26"/>
        <v>55.611111111110461</v>
      </c>
      <c r="AD157" s="872">
        <f t="shared" si="26"/>
        <v>62.455555555555748</v>
      </c>
      <c r="AE157" s="872">
        <f t="shared" si="25"/>
        <v>66.733333333332553</v>
      </c>
      <c r="AF157" s="872">
        <f t="shared" si="25"/>
        <v>51.333333333334039</v>
      </c>
      <c r="AG157" s="872">
        <f t="shared" si="25"/>
        <v>58.177777777777621</v>
      </c>
      <c r="AH157" s="872">
        <f t="shared" si="25"/>
        <v>62.455555555555748</v>
      </c>
      <c r="AI157" s="872">
        <f t="shared" si="25"/>
        <v>47.05555555555523</v>
      </c>
      <c r="AJ157" s="872">
        <f t="shared" si="25"/>
        <v>53.900000000000965</v>
      </c>
      <c r="AK157" s="872">
        <f t="shared" si="25"/>
        <v>58.177777777777621</v>
      </c>
    </row>
    <row r="158" spans="1:37" ht="13.5" thickBot="1">
      <c r="A158" s="868"/>
      <c r="B158" s="868"/>
      <c r="C158" s="868"/>
      <c r="D158" s="873">
        <f t="shared" si="23"/>
        <v>0.43055555555555453</v>
      </c>
      <c r="E158" s="872">
        <f t="shared" si="29"/>
        <v>120.55555555555685</v>
      </c>
      <c r="F158" s="872">
        <f t="shared" si="29"/>
        <v>127.44444444444568</v>
      </c>
      <c r="G158" s="872">
        <f t="shared" si="29"/>
        <v>131.74999999999952</v>
      </c>
      <c r="H158" s="872">
        <f t="shared" si="29"/>
        <v>111.94444444444315</v>
      </c>
      <c r="I158" s="872">
        <f t="shared" si="29"/>
        <v>118.83333333333152</v>
      </c>
      <c r="J158" s="872">
        <f t="shared" si="29"/>
        <v>123.13888888888852</v>
      </c>
      <c r="K158" s="872">
        <f t="shared" si="29"/>
        <v>103.33333333333475</v>
      </c>
      <c r="L158" s="872">
        <f t="shared" si="29"/>
        <v>110.22222222222274</v>
      </c>
      <c r="M158" s="872">
        <f t="shared" si="29"/>
        <v>114.52777777777932</v>
      </c>
      <c r="N158" s="872">
        <f t="shared" si="29"/>
        <v>77.5</v>
      </c>
      <c r="O158" s="872">
        <f t="shared" si="29"/>
        <v>84.388888888887465</v>
      </c>
      <c r="P158" s="872">
        <f t="shared" si="29"/>
        <v>88.694444444444315</v>
      </c>
      <c r="Q158" s="872">
        <f t="shared" si="29"/>
        <v>73.19444444444315</v>
      </c>
      <c r="R158" s="872">
        <f t="shared" si="29"/>
        <v>80.083333333331936</v>
      </c>
      <c r="S158" s="872">
        <f t="shared" si="29"/>
        <v>84.388888888887465</v>
      </c>
      <c r="T158" s="872">
        <f t="shared" si="30"/>
        <v>68.888888888888204</v>
      </c>
      <c r="U158" s="872">
        <f t="shared" si="28"/>
        <v>75.77777777777807</v>
      </c>
      <c r="V158" s="872">
        <f t="shared" si="28"/>
        <v>80.083333333331936</v>
      </c>
      <c r="W158" s="872">
        <f t="shared" si="28"/>
        <v>64.583333333333101</v>
      </c>
      <c r="X158" s="872">
        <f t="shared" si="28"/>
        <v>71.47222222222274</v>
      </c>
      <c r="Y158" s="872">
        <f t="shared" si="28"/>
        <v>75.77777777777807</v>
      </c>
      <c r="Z158" s="872">
        <f t="shared" si="26"/>
        <v>60.277777777778425</v>
      </c>
      <c r="AA158" s="872">
        <f t="shared" si="26"/>
        <v>67.16666666666589</v>
      </c>
      <c r="AB158" s="872">
        <f t="shared" si="26"/>
        <v>71.47222222222274</v>
      </c>
      <c r="AC158" s="872">
        <f t="shared" si="26"/>
        <v>55.972222222221575</v>
      </c>
      <c r="AD158" s="872">
        <f t="shared" si="26"/>
        <v>62.861111111111306</v>
      </c>
      <c r="AE158" s="872">
        <f t="shared" si="25"/>
        <v>67.16666666666589</v>
      </c>
      <c r="AF158" s="872">
        <f t="shared" si="25"/>
        <v>51.666666666667375</v>
      </c>
      <c r="AG158" s="872">
        <f t="shared" si="25"/>
        <v>58.555555555555401</v>
      </c>
      <c r="AH158" s="872">
        <f t="shared" si="25"/>
        <v>62.861111111111306</v>
      </c>
      <c r="AI158" s="872">
        <f t="shared" si="25"/>
        <v>47.361111111110787</v>
      </c>
      <c r="AJ158" s="872">
        <f t="shared" si="25"/>
        <v>54.250000000000966</v>
      </c>
      <c r="AK158" s="872">
        <f t="shared" si="25"/>
        <v>58.555555555555401</v>
      </c>
    </row>
    <row r="159" spans="1:37" ht="13.5" thickBot="1">
      <c r="A159" s="868"/>
      <c r="B159" s="868"/>
      <c r="C159" s="868"/>
      <c r="D159" s="873">
        <f t="shared" si="23"/>
        <v>0.43333333333333229</v>
      </c>
      <c r="E159" s="872">
        <f t="shared" si="29"/>
        <v>121.33333333333462</v>
      </c>
      <c r="F159" s="872">
        <f t="shared" si="29"/>
        <v>128.2666666666679</v>
      </c>
      <c r="G159" s="872">
        <f t="shared" si="29"/>
        <v>132.59999999999951</v>
      </c>
      <c r="H159" s="872">
        <f t="shared" si="29"/>
        <v>112.66666666666538</v>
      </c>
      <c r="I159" s="872">
        <f t="shared" si="29"/>
        <v>119.59999999999819</v>
      </c>
      <c r="J159" s="872">
        <f t="shared" si="29"/>
        <v>123.93333333333297</v>
      </c>
      <c r="K159" s="872">
        <f t="shared" si="29"/>
        <v>104.00000000000142</v>
      </c>
      <c r="L159" s="872">
        <f t="shared" si="29"/>
        <v>110.93333333333385</v>
      </c>
      <c r="M159" s="872">
        <f t="shared" si="29"/>
        <v>115.26666666666821</v>
      </c>
      <c r="N159" s="872">
        <f t="shared" si="29"/>
        <v>78</v>
      </c>
      <c r="O159" s="872">
        <f t="shared" si="29"/>
        <v>84.933333333331916</v>
      </c>
      <c r="P159" s="872">
        <f t="shared" si="29"/>
        <v>89.266666666666538</v>
      </c>
      <c r="Q159" s="872">
        <f t="shared" si="29"/>
        <v>73.666666666665378</v>
      </c>
      <c r="R159" s="872">
        <f t="shared" si="29"/>
        <v>80.599999999998602</v>
      </c>
      <c r="S159" s="872">
        <f t="shared" si="29"/>
        <v>84.933333333331916</v>
      </c>
      <c r="T159" s="872">
        <f t="shared" si="30"/>
        <v>69.333333333332646</v>
      </c>
      <c r="U159" s="872">
        <f t="shared" si="28"/>
        <v>76.266666666666964</v>
      </c>
      <c r="V159" s="872">
        <f t="shared" si="28"/>
        <v>80.599999999998602</v>
      </c>
      <c r="W159" s="872">
        <f t="shared" si="28"/>
        <v>64.999999999999773</v>
      </c>
      <c r="X159" s="872">
        <f t="shared" si="28"/>
        <v>71.933333333333849</v>
      </c>
      <c r="Y159" s="872">
        <f t="shared" si="28"/>
        <v>76.266666666666964</v>
      </c>
      <c r="Z159" s="872">
        <f t="shared" si="26"/>
        <v>60.666666666667311</v>
      </c>
      <c r="AA159" s="872">
        <f t="shared" si="26"/>
        <v>67.599999999999227</v>
      </c>
      <c r="AB159" s="872">
        <f t="shared" si="26"/>
        <v>71.933333333333849</v>
      </c>
      <c r="AC159" s="872">
        <f t="shared" si="26"/>
        <v>56.333333333332689</v>
      </c>
      <c r="AD159" s="872">
        <f t="shared" si="26"/>
        <v>63.266666666666865</v>
      </c>
      <c r="AE159" s="872">
        <f t="shared" si="25"/>
        <v>67.599999999999227</v>
      </c>
      <c r="AF159" s="872">
        <f t="shared" si="25"/>
        <v>52.000000000000711</v>
      </c>
      <c r="AG159" s="872">
        <f t="shared" si="25"/>
        <v>58.933333333333181</v>
      </c>
      <c r="AH159" s="872">
        <f t="shared" si="25"/>
        <v>63.266666666666865</v>
      </c>
      <c r="AI159" s="872">
        <f t="shared" si="25"/>
        <v>47.666666666666345</v>
      </c>
      <c r="AJ159" s="872">
        <f t="shared" si="25"/>
        <v>54.600000000000968</v>
      </c>
      <c r="AK159" s="872">
        <f t="shared" si="25"/>
        <v>58.933333333333181</v>
      </c>
    </row>
    <row r="160" spans="1:37" ht="13.5" thickBot="1">
      <c r="A160" s="868"/>
      <c r="B160" s="868"/>
      <c r="C160" s="868"/>
      <c r="D160" s="873">
        <f t="shared" si="23"/>
        <v>0.43611111111111006</v>
      </c>
      <c r="E160" s="872">
        <f t="shared" si="29"/>
        <v>122.11111111111239</v>
      </c>
      <c r="F160" s="872">
        <f t="shared" si="29"/>
        <v>129.08888888889012</v>
      </c>
      <c r="G160" s="872">
        <f t="shared" si="29"/>
        <v>133.44999999999951</v>
      </c>
      <c r="H160" s="872">
        <f t="shared" si="29"/>
        <v>113.38888888888761</v>
      </c>
      <c r="I160" s="872">
        <f t="shared" si="29"/>
        <v>120.36666666666486</v>
      </c>
      <c r="J160" s="872">
        <f t="shared" si="29"/>
        <v>124.72777777777742</v>
      </c>
      <c r="K160" s="872">
        <f t="shared" si="29"/>
        <v>104.66666666666809</v>
      </c>
      <c r="L160" s="872">
        <f t="shared" si="29"/>
        <v>111.64444444444496</v>
      </c>
      <c r="M160" s="872">
        <f t="shared" si="29"/>
        <v>116.00555555555711</v>
      </c>
      <c r="N160" s="872">
        <f t="shared" si="29"/>
        <v>78.5</v>
      </c>
      <c r="O160" s="872">
        <f t="shared" si="29"/>
        <v>85.477777777776367</v>
      </c>
      <c r="P160" s="872">
        <f t="shared" si="29"/>
        <v>89.838888888888761</v>
      </c>
      <c r="Q160" s="872">
        <f t="shared" si="29"/>
        <v>74.138888888887607</v>
      </c>
      <c r="R160" s="872">
        <f t="shared" si="29"/>
        <v>81.116666666665267</v>
      </c>
      <c r="S160" s="872">
        <f t="shared" si="29"/>
        <v>85.477777777776367</v>
      </c>
      <c r="T160" s="872">
        <f t="shared" si="30"/>
        <v>69.777777777777089</v>
      </c>
      <c r="U160" s="872">
        <f t="shared" si="28"/>
        <v>76.755555555555858</v>
      </c>
      <c r="V160" s="872">
        <f t="shared" si="28"/>
        <v>81.116666666665267</v>
      </c>
      <c r="W160" s="872">
        <f t="shared" si="28"/>
        <v>65.416666666666444</v>
      </c>
      <c r="X160" s="872">
        <f t="shared" si="28"/>
        <v>72.394444444444957</v>
      </c>
      <c r="Y160" s="872">
        <f t="shared" si="28"/>
        <v>76.755555555555858</v>
      </c>
      <c r="Z160" s="872">
        <f t="shared" si="26"/>
        <v>61.055555555556197</v>
      </c>
      <c r="AA160" s="872">
        <f t="shared" si="26"/>
        <v>68.033333333332564</v>
      </c>
      <c r="AB160" s="872">
        <f t="shared" si="26"/>
        <v>72.394444444444957</v>
      </c>
      <c r="AC160" s="872">
        <f t="shared" si="26"/>
        <v>56.694444444443803</v>
      </c>
      <c r="AD160" s="872">
        <f t="shared" si="26"/>
        <v>63.672222222222423</v>
      </c>
      <c r="AE160" s="872">
        <f t="shared" si="25"/>
        <v>68.033333333332564</v>
      </c>
      <c r="AF160" s="872">
        <f t="shared" si="25"/>
        <v>52.333333333334046</v>
      </c>
      <c r="AG160" s="872">
        <f t="shared" si="25"/>
        <v>59.311111111110961</v>
      </c>
      <c r="AH160" s="872">
        <f t="shared" si="25"/>
        <v>63.672222222222423</v>
      </c>
      <c r="AI160" s="872">
        <f t="shared" si="25"/>
        <v>47.972222222221902</v>
      </c>
      <c r="AJ160" s="872">
        <f t="shared" si="25"/>
        <v>54.950000000000969</v>
      </c>
      <c r="AK160" s="872">
        <f t="shared" si="25"/>
        <v>59.311111111110961</v>
      </c>
    </row>
    <row r="161" spans="1:37" ht="13.5" thickBot="1">
      <c r="A161" s="868"/>
      <c r="B161" s="868"/>
      <c r="C161" s="868"/>
      <c r="D161" s="873">
        <f t="shared" si="23"/>
        <v>0.43888888888888783</v>
      </c>
      <c r="E161" s="872">
        <f t="shared" si="29"/>
        <v>122.88888888889016</v>
      </c>
      <c r="F161" s="872">
        <f t="shared" si="29"/>
        <v>129.91111111111235</v>
      </c>
      <c r="G161" s="872">
        <f t="shared" si="29"/>
        <v>134.2999999999995</v>
      </c>
      <c r="H161" s="872">
        <f t="shared" si="29"/>
        <v>114.11111111110984</v>
      </c>
      <c r="I161" s="872">
        <f t="shared" si="29"/>
        <v>121.13333333333152</v>
      </c>
      <c r="J161" s="872">
        <f t="shared" si="29"/>
        <v>125.52222222222187</v>
      </c>
      <c r="K161" s="872">
        <f t="shared" si="29"/>
        <v>105.33333333333476</v>
      </c>
      <c r="L161" s="872">
        <f t="shared" si="29"/>
        <v>112.35555555555607</v>
      </c>
      <c r="M161" s="872">
        <f t="shared" si="29"/>
        <v>116.744444444446</v>
      </c>
      <c r="N161" s="872">
        <f t="shared" si="29"/>
        <v>79</v>
      </c>
      <c r="O161" s="872">
        <f t="shared" si="29"/>
        <v>86.022222222220819</v>
      </c>
      <c r="P161" s="872">
        <f t="shared" si="29"/>
        <v>90.411111111110984</v>
      </c>
      <c r="Q161" s="872">
        <f t="shared" si="29"/>
        <v>74.611111111109835</v>
      </c>
      <c r="R161" s="872">
        <f t="shared" si="29"/>
        <v>81.633333333331933</v>
      </c>
      <c r="S161" s="872">
        <f t="shared" si="29"/>
        <v>86.022222222220819</v>
      </c>
      <c r="T161" s="872">
        <f t="shared" si="30"/>
        <v>70.222222222221532</v>
      </c>
      <c r="U161" s="872">
        <f t="shared" si="28"/>
        <v>77.244444444444753</v>
      </c>
      <c r="V161" s="872">
        <f t="shared" si="28"/>
        <v>81.633333333331933</v>
      </c>
      <c r="W161" s="872">
        <f t="shared" si="28"/>
        <v>65.833333333333115</v>
      </c>
      <c r="X161" s="872">
        <f t="shared" si="28"/>
        <v>72.855555555556066</v>
      </c>
      <c r="Y161" s="872">
        <f t="shared" si="28"/>
        <v>77.244444444444753</v>
      </c>
      <c r="Z161" s="872">
        <f t="shared" si="26"/>
        <v>61.444444444445082</v>
      </c>
      <c r="AA161" s="872">
        <f t="shared" si="26"/>
        <v>68.466666666665901</v>
      </c>
      <c r="AB161" s="872">
        <f t="shared" si="26"/>
        <v>72.855555555556066</v>
      </c>
      <c r="AC161" s="872">
        <f t="shared" si="26"/>
        <v>57.055555555554918</v>
      </c>
      <c r="AD161" s="872">
        <f t="shared" si="26"/>
        <v>64.077777777777982</v>
      </c>
      <c r="AE161" s="872">
        <f t="shared" si="25"/>
        <v>68.466666666665901</v>
      </c>
      <c r="AF161" s="872">
        <f t="shared" si="25"/>
        <v>52.666666666667382</v>
      </c>
      <c r="AG161" s="872">
        <f t="shared" si="25"/>
        <v>59.688888888888741</v>
      </c>
      <c r="AH161" s="872">
        <f t="shared" si="25"/>
        <v>64.077777777777982</v>
      </c>
      <c r="AI161" s="872">
        <f t="shared" si="25"/>
        <v>48.277777777777459</v>
      </c>
      <c r="AJ161" s="872">
        <f t="shared" si="25"/>
        <v>55.300000000000971</v>
      </c>
      <c r="AK161" s="872">
        <f t="shared" si="25"/>
        <v>59.688888888888741</v>
      </c>
    </row>
    <row r="162" spans="1:37" ht="13.5" thickBot="1">
      <c r="A162" s="868"/>
      <c r="B162" s="868"/>
      <c r="C162" s="868"/>
      <c r="D162" s="873">
        <f t="shared" si="23"/>
        <v>0.4416666666666656</v>
      </c>
      <c r="E162" s="872">
        <f t="shared" si="29"/>
        <v>123.66666666666794</v>
      </c>
      <c r="F162" s="872">
        <f t="shared" si="29"/>
        <v>130.73333333333457</v>
      </c>
      <c r="G162" s="872">
        <f t="shared" si="29"/>
        <v>135.14999999999949</v>
      </c>
      <c r="H162" s="872">
        <f t="shared" si="29"/>
        <v>114.83333333333206</v>
      </c>
      <c r="I162" s="872">
        <f t="shared" si="29"/>
        <v>121.89999999999819</v>
      </c>
      <c r="J162" s="872">
        <f t="shared" si="29"/>
        <v>126.31666666666632</v>
      </c>
      <c r="K162" s="872">
        <f t="shared" si="29"/>
        <v>106.00000000000144</v>
      </c>
      <c r="L162" s="872">
        <f t="shared" si="29"/>
        <v>113.06666666666717</v>
      </c>
      <c r="M162" s="872">
        <f t="shared" si="29"/>
        <v>117.4833333333349</v>
      </c>
      <c r="N162" s="872">
        <f t="shared" si="29"/>
        <v>79.5</v>
      </c>
      <c r="O162" s="872">
        <f t="shared" si="29"/>
        <v>86.56666666666527</v>
      </c>
      <c r="P162" s="872">
        <f t="shared" si="29"/>
        <v>90.983333333333206</v>
      </c>
      <c r="Q162" s="872">
        <f t="shared" si="29"/>
        <v>75.083333333332064</v>
      </c>
      <c r="R162" s="872">
        <f t="shared" si="29"/>
        <v>82.149999999998599</v>
      </c>
      <c r="S162" s="872">
        <f t="shared" si="29"/>
        <v>86.56666666666527</v>
      </c>
      <c r="T162" s="872">
        <f t="shared" si="30"/>
        <v>70.666666666665975</v>
      </c>
      <c r="U162" s="872">
        <f t="shared" si="28"/>
        <v>77.733333333333647</v>
      </c>
      <c r="V162" s="872">
        <f t="shared" si="28"/>
        <v>82.149999999998599</v>
      </c>
      <c r="W162" s="872">
        <f t="shared" si="28"/>
        <v>66.249999999999787</v>
      </c>
      <c r="X162" s="872">
        <f t="shared" si="28"/>
        <v>73.316666666667174</v>
      </c>
      <c r="Y162" s="872">
        <f t="shared" si="28"/>
        <v>77.733333333333647</v>
      </c>
      <c r="Z162" s="872">
        <f t="shared" si="26"/>
        <v>61.833333333333968</v>
      </c>
      <c r="AA162" s="872">
        <f t="shared" si="26"/>
        <v>68.899999999999238</v>
      </c>
      <c r="AB162" s="872">
        <f t="shared" si="26"/>
        <v>73.316666666667174</v>
      </c>
      <c r="AC162" s="872">
        <f t="shared" si="26"/>
        <v>57.416666666666032</v>
      </c>
      <c r="AD162" s="872">
        <f t="shared" si="26"/>
        <v>64.483333333333533</v>
      </c>
      <c r="AE162" s="872">
        <f t="shared" si="25"/>
        <v>68.899999999999238</v>
      </c>
      <c r="AF162" s="872">
        <f t="shared" si="25"/>
        <v>53.000000000000718</v>
      </c>
      <c r="AG162" s="872">
        <f t="shared" si="25"/>
        <v>60.066666666666521</v>
      </c>
      <c r="AH162" s="872">
        <f t="shared" si="25"/>
        <v>64.483333333333533</v>
      </c>
      <c r="AI162" s="872">
        <f t="shared" si="25"/>
        <v>48.583333333333016</v>
      </c>
      <c r="AJ162" s="872">
        <f t="shared" si="25"/>
        <v>55.650000000000972</v>
      </c>
      <c r="AK162" s="872">
        <f t="shared" si="25"/>
        <v>60.066666666666521</v>
      </c>
    </row>
    <row r="163" spans="1:37" ht="13.5" thickBot="1">
      <c r="A163" s="868"/>
      <c r="B163" s="868"/>
      <c r="C163" s="868"/>
      <c r="D163" s="873">
        <f t="shared" si="23"/>
        <v>0.44444444444444337</v>
      </c>
      <c r="E163" s="872">
        <f t="shared" si="29"/>
        <v>124.44444444444571</v>
      </c>
      <c r="F163" s="872">
        <f t="shared" si="29"/>
        <v>131.55555555555679</v>
      </c>
      <c r="G163" s="872">
        <f t="shared" si="29"/>
        <v>135.99999999999949</v>
      </c>
      <c r="H163" s="872">
        <f t="shared" si="29"/>
        <v>115.55555555555429</v>
      </c>
      <c r="I163" s="872">
        <f t="shared" si="29"/>
        <v>122.66666666666485</v>
      </c>
      <c r="J163" s="872">
        <f t="shared" si="29"/>
        <v>127.11111111111077</v>
      </c>
      <c r="K163" s="872">
        <f t="shared" si="29"/>
        <v>106.66666666666811</v>
      </c>
      <c r="L163" s="872">
        <f t="shared" si="29"/>
        <v>113.77777777777828</v>
      </c>
      <c r="M163" s="872">
        <f t="shared" si="29"/>
        <v>118.22222222222379</v>
      </c>
      <c r="N163" s="872">
        <f t="shared" si="29"/>
        <v>80</v>
      </c>
      <c r="O163" s="872">
        <f t="shared" si="29"/>
        <v>87.111111111109722</v>
      </c>
      <c r="P163" s="872">
        <f t="shared" si="29"/>
        <v>91.555555555555429</v>
      </c>
      <c r="Q163" s="872">
        <f t="shared" si="29"/>
        <v>75.555555555554292</v>
      </c>
      <c r="R163" s="872">
        <f t="shared" si="29"/>
        <v>82.666666666665265</v>
      </c>
      <c r="S163" s="872">
        <f t="shared" si="29"/>
        <v>87.111111111109722</v>
      </c>
      <c r="T163" s="872">
        <f t="shared" si="30"/>
        <v>71.111111111110418</v>
      </c>
      <c r="U163" s="872">
        <f t="shared" si="28"/>
        <v>78.222222222222541</v>
      </c>
      <c r="V163" s="872">
        <f t="shared" si="28"/>
        <v>82.666666666665265</v>
      </c>
      <c r="W163" s="872">
        <f t="shared" si="28"/>
        <v>66.666666666666458</v>
      </c>
      <c r="X163" s="872">
        <f t="shared" si="28"/>
        <v>73.777777777778283</v>
      </c>
      <c r="Y163" s="872">
        <f t="shared" si="28"/>
        <v>78.222222222222541</v>
      </c>
      <c r="Z163" s="872">
        <f t="shared" si="26"/>
        <v>62.222222222222854</v>
      </c>
      <c r="AA163" s="872">
        <f t="shared" si="26"/>
        <v>69.333333333332575</v>
      </c>
      <c r="AB163" s="872">
        <f t="shared" si="26"/>
        <v>73.777777777778283</v>
      </c>
      <c r="AC163" s="872">
        <f t="shared" si="26"/>
        <v>57.777777777777146</v>
      </c>
      <c r="AD163" s="872">
        <f t="shared" si="26"/>
        <v>64.888888888889085</v>
      </c>
      <c r="AE163" s="872">
        <f t="shared" si="25"/>
        <v>69.333333333332575</v>
      </c>
      <c r="AF163" s="872">
        <f t="shared" si="25"/>
        <v>53.333333333334053</v>
      </c>
      <c r="AG163" s="872">
        <f t="shared" si="25"/>
        <v>60.444444444444301</v>
      </c>
      <c r="AH163" s="872">
        <f t="shared" si="25"/>
        <v>64.888888888889085</v>
      </c>
      <c r="AI163" s="872">
        <f t="shared" si="25"/>
        <v>48.888888888888573</v>
      </c>
      <c r="AJ163" s="872">
        <f t="shared" si="25"/>
        <v>56.000000000000973</v>
      </c>
      <c r="AK163" s="872">
        <f t="shared" si="25"/>
        <v>60.444444444444301</v>
      </c>
    </row>
    <row r="164" spans="1:37" ht="13.5" thickBot="1">
      <c r="A164" s="868"/>
      <c r="B164" s="868"/>
      <c r="C164" s="868"/>
      <c r="D164" s="873">
        <f t="shared" si="23"/>
        <v>0.44722222222222113</v>
      </c>
      <c r="E164" s="872">
        <f t="shared" si="29"/>
        <v>125.22222222222348</v>
      </c>
      <c r="F164" s="872">
        <f t="shared" si="29"/>
        <v>132.37777777777902</v>
      </c>
      <c r="G164" s="872">
        <f t="shared" si="29"/>
        <v>136.84999999999948</v>
      </c>
      <c r="H164" s="872">
        <f t="shared" si="29"/>
        <v>116.27777777777652</v>
      </c>
      <c r="I164" s="872">
        <f t="shared" si="29"/>
        <v>123.43333333333152</v>
      </c>
      <c r="J164" s="872">
        <f t="shared" si="29"/>
        <v>127.90555555555522</v>
      </c>
      <c r="K164" s="872">
        <f t="shared" si="29"/>
        <v>107.33333333333478</v>
      </c>
      <c r="L164" s="872">
        <f t="shared" si="29"/>
        <v>114.48888888888939</v>
      </c>
      <c r="M164" s="872">
        <f t="shared" si="29"/>
        <v>118.96111111111269</v>
      </c>
      <c r="N164" s="872">
        <f t="shared" si="29"/>
        <v>80.5</v>
      </c>
      <c r="O164" s="872">
        <f t="shared" si="29"/>
        <v>87.655555555554173</v>
      </c>
      <c r="P164" s="872">
        <f t="shared" si="29"/>
        <v>92.127777777777652</v>
      </c>
      <c r="Q164" s="872">
        <f t="shared" si="29"/>
        <v>76.027777777776521</v>
      </c>
      <c r="R164" s="872">
        <f t="shared" si="29"/>
        <v>83.18333333333193</v>
      </c>
      <c r="S164" s="872">
        <f t="shared" si="29"/>
        <v>87.655555555554173</v>
      </c>
      <c r="T164" s="872">
        <f t="shared" si="30"/>
        <v>71.555555555554861</v>
      </c>
      <c r="U164" s="872">
        <f t="shared" si="28"/>
        <v>78.711111111111435</v>
      </c>
      <c r="V164" s="872">
        <f t="shared" si="28"/>
        <v>83.18333333333193</v>
      </c>
      <c r="W164" s="872">
        <f t="shared" si="28"/>
        <v>67.08333333333313</v>
      </c>
      <c r="X164" s="872">
        <f t="shared" si="28"/>
        <v>74.238888888889392</v>
      </c>
      <c r="Y164" s="872">
        <f t="shared" si="28"/>
        <v>78.711111111111435</v>
      </c>
      <c r="Z164" s="872">
        <f t="shared" si="26"/>
        <v>62.61111111111174</v>
      </c>
      <c r="AA164" s="872">
        <f t="shared" si="26"/>
        <v>69.766666666665913</v>
      </c>
      <c r="AB164" s="872">
        <f t="shared" si="26"/>
        <v>74.238888888889392</v>
      </c>
      <c r="AC164" s="872">
        <f t="shared" si="26"/>
        <v>58.13888888888826</v>
      </c>
      <c r="AD164" s="872">
        <f t="shared" si="26"/>
        <v>65.294444444444636</v>
      </c>
      <c r="AE164" s="872">
        <f t="shared" si="25"/>
        <v>69.766666666665913</v>
      </c>
      <c r="AF164" s="872">
        <f t="shared" si="25"/>
        <v>53.666666666667389</v>
      </c>
      <c r="AG164" s="872">
        <f t="shared" si="25"/>
        <v>60.822222222222081</v>
      </c>
      <c r="AH164" s="872">
        <f t="shared" si="25"/>
        <v>65.294444444444636</v>
      </c>
      <c r="AI164" s="872">
        <f t="shared" si="25"/>
        <v>49.19444444444413</v>
      </c>
      <c r="AJ164" s="872">
        <f t="shared" si="25"/>
        <v>56.350000000000975</v>
      </c>
      <c r="AK164" s="872">
        <f t="shared" si="25"/>
        <v>60.822222222222081</v>
      </c>
    </row>
    <row r="165" spans="1:37" ht="13.5" thickBot="1">
      <c r="A165" s="868"/>
      <c r="B165" s="868"/>
      <c r="C165" s="868"/>
      <c r="D165" s="873">
        <f t="shared" si="23"/>
        <v>0.4499999999999989</v>
      </c>
      <c r="E165" s="872">
        <f t="shared" si="29"/>
        <v>126.00000000000125</v>
      </c>
      <c r="F165" s="872">
        <f t="shared" si="29"/>
        <v>133.20000000000124</v>
      </c>
      <c r="G165" s="872">
        <f t="shared" si="29"/>
        <v>137.69999999999948</v>
      </c>
      <c r="H165" s="872">
        <f t="shared" si="29"/>
        <v>116.99999999999875</v>
      </c>
      <c r="I165" s="872">
        <f t="shared" si="29"/>
        <v>124.19999999999818</v>
      </c>
      <c r="J165" s="872">
        <f t="shared" si="29"/>
        <v>128.69999999999968</v>
      </c>
      <c r="K165" s="872">
        <f t="shared" si="29"/>
        <v>108.00000000000145</v>
      </c>
      <c r="L165" s="872">
        <f t="shared" si="29"/>
        <v>115.2000000000005</v>
      </c>
      <c r="M165" s="872">
        <f t="shared" si="29"/>
        <v>119.70000000000158</v>
      </c>
      <c r="N165" s="872">
        <f t="shared" si="29"/>
        <v>81</v>
      </c>
      <c r="O165" s="872">
        <f t="shared" si="29"/>
        <v>88.199999999998624</v>
      </c>
      <c r="P165" s="872">
        <f t="shared" si="29"/>
        <v>92.699999999999875</v>
      </c>
      <c r="Q165" s="872">
        <f t="shared" si="29"/>
        <v>76.499999999998749</v>
      </c>
      <c r="R165" s="872">
        <f t="shared" si="29"/>
        <v>83.699999999998596</v>
      </c>
      <c r="S165" s="872">
        <f t="shared" si="29"/>
        <v>88.199999999998624</v>
      </c>
      <c r="T165" s="872">
        <f t="shared" si="30"/>
        <v>71.999999999999304</v>
      </c>
      <c r="U165" s="872">
        <f t="shared" si="28"/>
        <v>79.20000000000033</v>
      </c>
      <c r="V165" s="872">
        <f t="shared" si="28"/>
        <v>83.699999999998596</v>
      </c>
      <c r="W165" s="872">
        <f t="shared" si="28"/>
        <v>67.499999999999801</v>
      </c>
      <c r="X165" s="872">
        <f t="shared" si="28"/>
        <v>74.7000000000005</v>
      </c>
      <c r="Y165" s="872">
        <f t="shared" si="28"/>
        <v>79.20000000000033</v>
      </c>
      <c r="Z165" s="872">
        <f t="shared" si="26"/>
        <v>63.000000000000625</v>
      </c>
      <c r="AA165" s="872">
        <f t="shared" si="26"/>
        <v>70.19999999999925</v>
      </c>
      <c r="AB165" s="872">
        <f t="shared" si="26"/>
        <v>74.7000000000005</v>
      </c>
      <c r="AC165" s="872">
        <f t="shared" si="26"/>
        <v>58.499999999999375</v>
      </c>
      <c r="AD165" s="872">
        <f t="shared" si="26"/>
        <v>65.700000000000188</v>
      </c>
      <c r="AE165" s="872">
        <f t="shared" si="25"/>
        <v>70.19999999999925</v>
      </c>
      <c r="AF165" s="872">
        <f t="shared" si="25"/>
        <v>54.000000000000725</v>
      </c>
      <c r="AG165" s="872">
        <f t="shared" si="25"/>
        <v>61.199999999999861</v>
      </c>
      <c r="AH165" s="872">
        <f t="shared" si="25"/>
        <v>65.700000000000188</v>
      </c>
      <c r="AI165" s="872">
        <f t="shared" si="25"/>
        <v>49.499999999999687</v>
      </c>
      <c r="AJ165" s="872">
        <f t="shared" si="25"/>
        <v>56.700000000000976</v>
      </c>
      <c r="AK165" s="872">
        <f t="shared" si="25"/>
        <v>61.199999999999861</v>
      </c>
    </row>
    <row r="166" spans="1:37" ht="13.5" thickBot="1">
      <c r="A166" s="868"/>
      <c r="B166" s="868"/>
      <c r="C166" s="868"/>
      <c r="D166" s="873">
        <f t="shared" si="23"/>
        <v>0.45277777777777667</v>
      </c>
      <c r="E166" s="872">
        <f t="shared" si="29"/>
        <v>126.77777777777902</v>
      </c>
      <c r="F166" s="872">
        <f t="shared" si="29"/>
        <v>134.02222222222346</v>
      </c>
      <c r="G166" s="872">
        <f t="shared" si="29"/>
        <v>138.54999999999947</v>
      </c>
      <c r="H166" s="872">
        <f t="shared" si="29"/>
        <v>117.72222222222098</v>
      </c>
      <c r="I166" s="872">
        <f t="shared" si="29"/>
        <v>124.96666666666485</v>
      </c>
      <c r="J166" s="872">
        <f t="shared" si="29"/>
        <v>129.49444444444413</v>
      </c>
      <c r="K166" s="872">
        <f t="shared" si="29"/>
        <v>108.66666666666812</v>
      </c>
      <c r="L166" s="872">
        <f t="shared" si="29"/>
        <v>115.91111111111161</v>
      </c>
      <c r="M166" s="872">
        <f t="shared" si="29"/>
        <v>120.43888888889047</v>
      </c>
      <c r="N166" s="872">
        <f t="shared" si="29"/>
        <v>81.5</v>
      </c>
      <c r="O166" s="872">
        <f t="shared" si="29"/>
        <v>88.744444444443076</v>
      </c>
      <c r="P166" s="872">
        <f t="shared" si="29"/>
        <v>93.272222222222098</v>
      </c>
      <c r="Q166" s="872">
        <f t="shared" si="29"/>
        <v>76.972222222220978</v>
      </c>
      <c r="R166" s="872">
        <f t="shared" si="29"/>
        <v>84.216666666665262</v>
      </c>
      <c r="S166" s="872">
        <f t="shared" si="29"/>
        <v>88.744444444443076</v>
      </c>
      <c r="T166" s="872">
        <f t="shared" si="30"/>
        <v>72.444444444443747</v>
      </c>
      <c r="U166" s="872">
        <f t="shared" si="28"/>
        <v>79.688888888889224</v>
      </c>
      <c r="V166" s="872">
        <f t="shared" si="28"/>
        <v>84.216666666665262</v>
      </c>
      <c r="W166" s="872">
        <f t="shared" si="28"/>
        <v>67.916666666666472</v>
      </c>
      <c r="X166" s="872">
        <f t="shared" si="28"/>
        <v>75.161111111111609</v>
      </c>
      <c r="Y166" s="872">
        <f t="shared" si="28"/>
        <v>79.688888888889224</v>
      </c>
      <c r="Z166" s="872">
        <f t="shared" si="26"/>
        <v>63.388888888889511</v>
      </c>
      <c r="AA166" s="872">
        <f t="shared" si="26"/>
        <v>70.633333333332587</v>
      </c>
      <c r="AB166" s="872">
        <f t="shared" si="26"/>
        <v>75.161111111111609</v>
      </c>
      <c r="AC166" s="872">
        <f t="shared" si="26"/>
        <v>58.861111111110489</v>
      </c>
      <c r="AD166" s="872">
        <f t="shared" si="26"/>
        <v>66.105555555555739</v>
      </c>
      <c r="AE166" s="872">
        <f t="shared" si="25"/>
        <v>70.633333333332587</v>
      </c>
      <c r="AF166" s="872">
        <f t="shared" si="25"/>
        <v>54.33333333333406</v>
      </c>
      <c r="AG166" s="872">
        <f t="shared" si="25"/>
        <v>61.577777777777641</v>
      </c>
      <c r="AH166" s="872">
        <f t="shared" si="25"/>
        <v>66.105555555555739</v>
      </c>
      <c r="AI166" s="872">
        <f t="shared" si="25"/>
        <v>49.805555555555244</v>
      </c>
      <c r="AJ166" s="872">
        <f t="shared" si="25"/>
        <v>57.050000000000978</v>
      </c>
      <c r="AK166" s="872">
        <f t="shared" si="25"/>
        <v>61.577777777777641</v>
      </c>
    </row>
    <row r="167" spans="1:37" ht="13.5" thickBot="1">
      <c r="A167" s="868"/>
      <c r="B167" s="868"/>
      <c r="C167" s="868"/>
      <c r="D167" s="873">
        <f t="shared" si="23"/>
        <v>0.45555555555555444</v>
      </c>
      <c r="E167" s="872">
        <f t="shared" si="29"/>
        <v>127.55555555555679</v>
      </c>
      <c r="F167" s="872">
        <f t="shared" si="29"/>
        <v>134.84444444444568</v>
      </c>
      <c r="G167" s="872">
        <f t="shared" si="29"/>
        <v>139.39999999999947</v>
      </c>
      <c r="H167" s="872">
        <f t="shared" si="29"/>
        <v>118.44444444444321</v>
      </c>
      <c r="I167" s="872">
        <f t="shared" si="29"/>
        <v>125.73333333333152</v>
      </c>
      <c r="J167" s="872">
        <f t="shared" si="29"/>
        <v>130.28888888888858</v>
      </c>
      <c r="K167" s="872">
        <f t="shared" si="29"/>
        <v>109.33333333333479</v>
      </c>
      <c r="L167" s="872">
        <f t="shared" si="29"/>
        <v>116.62222222222272</v>
      </c>
      <c r="M167" s="872">
        <f t="shared" si="29"/>
        <v>121.17777777777937</v>
      </c>
      <c r="N167" s="872">
        <f t="shared" si="29"/>
        <v>82</v>
      </c>
      <c r="O167" s="872">
        <f t="shared" si="29"/>
        <v>89.288888888887527</v>
      </c>
      <c r="P167" s="872">
        <f t="shared" si="29"/>
        <v>93.844444444444321</v>
      </c>
      <c r="Q167" s="872">
        <f t="shared" si="29"/>
        <v>77.444444444443207</v>
      </c>
      <c r="R167" s="872">
        <f t="shared" si="29"/>
        <v>84.733333333331927</v>
      </c>
      <c r="S167" s="872">
        <f t="shared" si="29"/>
        <v>89.288888888887527</v>
      </c>
      <c r="T167" s="872">
        <f t="shared" si="30"/>
        <v>72.888888888888189</v>
      </c>
      <c r="U167" s="872">
        <f t="shared" si="28"/>
        <v>80.177777777778118</v>
      </c>
      <c r="V167" s="872">
        <f t="shared" si="28"/>
        <v>84.733333333331927</v>
      </c>
      <c r="W167" s="872">
        <f t="shared" si="28"/>
        <v>68.333333333333144</v>
      </c>
      <c r="X167" s="872">
        <f t="shared" si="28"/>
        <v>75.622222222222717</v>
      </c>
      <c r="Y167" s="872">
        <f t="shared" si="28"/>
        <v>80.177777777778118</v>
      </c>
      <c r="Z167" s="872">
        <f t="shared" si="26"/>
        <v>63.777777777778397</v>
      </c>
      <c r="AA167" s="872">
        <f t="shared" si="26"/>
        <v>71.066666666665924</v>
      </c>
      <c r="AB167" s="872">
        <f t="shared" si="26"/>
        <v>75.622222222222717</v>
      </c>
      <c r="AC167" s="872">
        <f t="shared" si="26"/>
        <v>59.222222222221603</v>
      </c>
      <c r="AD167" s="872">
        <f t="shared" si="26"/>
        <v>66.51111111111129</v>
      </c>
      <c r="AE167" s="872">
        <f t="shared" si="25"/>
        <v>71.066666666665924</v>
      </c>
      <c r="AF167" s="872">
        <f t="shared" si="25"/>
        <v>54.666666666667396</v>
      </c>
      <c r="AG167" s="872">
        <f t="shared" si="25"/>
        <v>61.955555555555421</v>
      </c>
      <c r="AH167" s="872">
        <f t="shared" si="25"/>
        <v>66.51111111111129</v>
      </c>
      <c r="AI167" s="872">
        <f t="shared" si="25"/>
        <v>50.111111111110802</v>
      </c>
      <c r="AJ167" s="872">
        <f t="shared" si="25"/>
        <v>57.400000000000979</v>
      </c>
      <c r="AK167" s="872">
        <f t="shared" si="25"/>
        <v>61.955555555555421</v>
      </c>
    </row>
    <row r="168" spans="1:37" ht="13.5" thickBot="1">
      <c r="A168" s="868"/>
      <c r="B168" s="868"/>
      <c r="C168" s="868"/>
      <c r="D168" s="873">
        <f t="shared" si="23"/>
        <v>0.4583333333333322</v>
      </c>
      <c r="E168" s="872">
        <f t="shared" ref="E168:T183" si="31">E169-(E$363/360)</f>
        <v>128.33333333333456</v>
      </c>
      <c r="F168" s="872">
        <f t="shared" si="31"/>
        <v>135.66666666666791</v>
      </c>
      <c r="G168" s="872">
        <f t="shared" si="31"/>
        <v>140.24999999999946</v>
      </c>
      <c r="H168" s="872">
        <f t="shared" si="31"/>
        <v>119.16666666666544</v>
      </c>
      <c r="I168" s="872">
        <f t="shared" si="31"/>
        <v>126.49999999999818</v>
      </c>
      <c r="J168" s="872">
        <f t="shared" si="31"/>
        <v>131.08333333333303</v>
      </c>
      <c r="K168" s="872">
        <f t="shared" si="31"/>
        <v>110.00000000000146</v>
      </c>
      <c r="L168" s="872">
        <f t="shared" si="31"/>
        <v>117.33333333333383</v>
      </c>
      <c r="M168" s="872">
        <f t="shared" si="31"/>
        <v>121.91666666666826</v>
      </c>
      <c r="N168" s="872">
        <f t="shared" si="31"/>
        <v>82.5</v>
      </c>
      <c r="O168" s="872">
        <f t="shared" si="31"/>
        <v>89.833333333331979</v>
      </c>
      <c r="P168" s="872">
        <f t="shared" si="31"/>
        <v>94.416666666666544</v>
      </c>
      <c r="Q168" s="872">
        <f t="shared" si="31"/>
        <v>77.916666666665435</v>
      </c>
      <c r="R168" s="872">
        <f t="shared" si="31"/>
        <v>85.249999999998593</v>
      </c>
      <c r="S168" s="872">
        <f t="shared" si="31"/>
        <v>89.833333333331979</v>
      </c>
      <c r="T168" s="872">
        <f t="shared" si="30"/>
        <v>73.333333333332632</v>
      </c>
      <c r="U168" s="872">
        <f t="shared" si="28"/>
        <v>80.666666666667012</v>
      </c>
      <c r="V168" s="872">
        <f t="shared" si="28"/>
        <v>85.249999999998593</v>
      </c>
      <c r="W168" s="872">
        <f t="shared" si="28"/>
        <v>68.749999999999815</v>
      </c>
      <c r="X168" s="872">
        <f t="shared" si="28"/>
        <v>76.083333333333826</v>
      </c>
      <c r="Y168" s="872">
        <f t="shared" si="28"/>
        <v>80.666666666667012</v>
      </c>
      <c r="Z168" s="872">
        <f>Z169-(Z$363/360)</f>
        <v>64.166666666667282</v>
      </c>
      <c r="AA168" s="872">
        <f t="shared" si="26"/>
        <v>71.499999999999261</v>
      </c>
      <c r="AB168" s="872">
        <f t="shared" si="26"/>
        <v>76.083333333333826</v>
      </c>
      <c r="AC168" s="872">
        <f t="shared" si="26"/>
        <v>59.583333333332718</v>
      </c>
      <c r="AD168" s="872">
        <f t="shared" si="26"/>
        <v>66.916666666666842</v>
      </c>
      <c r="AE168" s="872">
        <f t="shared" si="25"/>
        <v>71.499999999999261</v>
      </c>
      <c r="AF168" s="872">
        <f t="shared" si="25"/>
        <v>55.000000000000732</v>
      </c>
      <c r="AG168" s="872">
        <f t="shared" si="25"/>
        <v>62.333333333333201</v>
      </c>
      <c r="AH168" s="872">
        <f t="shared" si="25"/>
        <v>66.916666666666842</v>
      </c>
      <c r="AI168" s="872">
        <f t="shared" si="25"/>
        <v>50.416666666666359</v>
      </c>
      <c r="AJ168" s="872">
        <f t="shared" si="25"/>
        <v>57.750000000000981</v>
      </c>
      <c r="AK168" s="872">
        <f t="shared" si="25"/>
        <v>62.333333333333201</v>
      </c>
    </row>
    <row r="169" spans="1:37" ht="13.5" thickBot="1">
      <c r="A169" s="868"/>
      <c r="B169" s="868"/>
      <c r="C169" s="868"/>
      <c r="D169" s="873">
        <f t="shared" si="23"/>
        <v>0.46111111111110997</v>
      </c>
      <c r="E169" s="872">
        <f t="shared" si="31"/>
        <v>129.11111111111234</v>
      </c>
      <c r="F169" s="872">
        <f t="shared" si="31"/>
        <v>136.48888888889013</v>
      </c>
      <c r="G169" s="872">
        <f t="shared" si="31"/>
        <v>141.09999999999945</v>
      </c>
      <c r="H169" s="872">
        <f t="shared" si="31"/>
        <v>119.88888888888766</v>
      </c>
      <c r="I169" s="872">
        <f t="shared" si="31"/>
        <v>127.26666666666485</v>
      </c>
      <c r="J169" s="872">
        <f t="shared" si="31"/>
        <v>131.87777777777748</v>
      </c>
      <c r="K169" s="872">
        <f t="shared" si="31"/>
        <v>110.66666666666814</v>
      </c>
      <c r="L169" s="872">
        <f t="shared" si="31"/>
        <v>118.04444444444493</v>
      </c>
      <c r="M169" s="872">
        <f t="shared" si="31"/>
        <v>122.65555555555716</v>
      </c>
      <c r="N169" s="872">
        <f t="shared" si="31"/>
        <v>83</v>
      </c>
      <c r="O169" s="872">
        <f t="shared" si="31"/>
        <v>90.37777777777643</v>
      </c>
      <c r="P169" s="872">
        <f t="shared" si="31"/>
        <v>94.988888888888766</v>
      </c>
      <c r="Q169" s="872">
        <f t="shared" si="31"/>
        <v>78.388888888887664</v>
      </c>
      <c r="R169" s="872">
        <f t="shared" si="31"/>
        <v>85.766666666665259</v>
      </c>
      <c r="S169" s="872">
        <f t="shared" si="31"/>
        <v>90.37777777777643</v>
      </c>
      <c r="T169" s="872">
        <f t="shared" si="31"/>
        <v>73.777777777777075</v>
      </c>
      <c r="U169" s="872">
        <f t="shared" si="28"/>
        <v>81.155555555555907</v>
      </c>
      <c r="V169" s="872">
        <f t="shared" si="28"/>
        <v>85.766666666665259</v>
      </c>
      <c r="W169" s="872">
        <f t="shared" si="28"/>
        <v>69.166666666666487</v>
      </c>
      <c r="X169" s="872">
        <f t="shared" si="28"/>
        <v>76.544444444444935</v>
      </c>
      <c r="Y169" s="872">
        <f t="shared" si="28"/>
        <v>81.155555555555907</v>
      </c>
      <c r="Z169" s="872">
        <f t="shared" si="28"/>
        <v>64.555555555556168</v>
      </c>
      <c r="AA169" s="872">
        <f t="shared" si="26"/>
        <v>71.933333333332598</v>
      </c>
      <c r="AB169" s="872">
        <f t="shared" si="26"/>
        <v>76.544444444444935</v>
      </c>
      <c r="AC169" s="872">
        <f t="shared" si="26"/>
        <v>59.944444444443832</v>
      </c>
      <c r="AD169" s="872">
        <f t="shared" si="26"/>
        <v>67.322222222222393</v>
      </c>
      <c r="AE169" s="872">
        <f t="shared" si="25"/>
        <v>71.933333333332598</v>
      </c>
      <c r="AF169" s="872">
        <f t="shared" si="25"/>
        <v>55.333333333334068</v>
      </c>
      <c r="AG169" s="872">
        <f t="shared" si="25"/>
        <v>62.711111111110981</v>
      </c>
      <c r="AH169" s="872">
        <f t="shared" si="25"/>
        <v>67.322222222222393</v>
      </c>
      <c r="AI169" s="872">
        <f t="shared" si="25"/>
        <v>50.722222222221916</v>
      </c>
      <c r="AJ169" s="872">
        <f t="shared" si="25"/>
        <v>58.100000000000982</v>
      </c>
      <c r="AK169" s="872">
        <f t="shared" si="25"/>
        <v>62.711111111110981</v>
      </c>
    </row>
    <row r="170" spans="1:37" ht="13.5" thickBot="1">
      <c r="A170" s="868"/>
      <c r="B170" s="868"/>
      <c r="C170" s="868"/>
      <c r="D170" s="873">
        <f t="shared" si="23"/>
        <v>0.46388888888888774</v>
      </c>
      <c r="E170" s="872">
        <f t="shared" si="31"/>
        <v>129.88888888889011</v>
      </c>
      <c r="F170" s="872">
        <f t="shared" si="31"/>
        <v>137.31111111111235</v>
      </c>
      <c r="G170" s="872">
        <f t="shared" si="31"/>
        <v>141.94999999999945</v>
      </c>
      <c r="H170" s="872">
        <f t="shared" si="31"/>
        <v>120.61111111110989</v>
      </c>
      <c r="I170" s="872">
        <f t="shared" si="31"/>
        <v>128.03333333333151</v>
      </c>
      <c r="J170" s="872">
        <f t="shared" si="31"/>
        <v>132.67222222222193</v>
      </c>
      <c r="K170" s="872">
        <f t="shared" si="31"/>
        <v>111.33333333333481</v>
      </c>
      <c r="L170" s="872">
        <f t="shared" si="31"/>
        <v>118.75555555555604</v>
      </c>
      <c r="M170" s="872">
        <f t="shared" si="31"/>
        <v>123.39444444444605</v>
      </c>
      <c r="N170" s="872">
        <f t="shared" si="31"/>
        <v>83.5</v>
      </c>
      <c r="O170" s="872">
        <f t="shared" si="31"/>
        <v>90.922222222220881</v>
      </c>
      <c r="P170" s="872">
        <f t="shared" si="31"/>
        <v>95.561111111110989</v>
      </c>
      <c r="Q170" s="872">
        <f t="shared" si="31"/>
        <v>78.861111111109892</v>
      </c>
      <c r="R170" s="872">
        <f t="shared" si="31"/>
        <v>86.283333333331925</v>
      </c>
      <c r="S170" s="872">
        <f t="shared" si="31"/>
        <v>90.922222222220881</v>
      </c>
      <c r="T170" s="872">
        <f t="shared" si="31"/>
        <v>74.222222222221518</v>
      </c>
      <c r="U170" s="872">
        <f t="shared" si="28"/>
        <v>81.644444444444801</v>
      </c>
      <c r="V170" s="872">
        <f t="shared" si="28"/>
        <v>86.283333333331925</v>
      </c>
      <c r="W170" s="872">
        <f t="shared" si="28"/>
        <v>69.583333333333158</v>
      </c>
      <c r="X170" s="872">
        <f t="shared" si="28"/>
        <v>77.005555555556043</v>
      </c>
      <c r="Y170" s="872">
        <f t="shared" si="28"/>
        <v>81.644444444444801</v>
      </c>
      <c r="Z170" s="872">
        <f t="shared" si="28"/>
        <v>64.944444444445054</v>
      </c>
      <c r="AA170" s="872">
        <f t="shared" si="26"/>
        <v>72.366666666665935</v>
      </c>
      <c r="AB170" s="872">
        <f t="shared" si="26"/>
        <v>77.005555555556043</v>
      </c>
      <c r="AC170" s="872">
        <f t="shared" si="26"/>
        <v>60.305555555554946</v>
      </c>
      <c r="AD170" s="872">
        <f t="shared" si="26"/>
        <v>67.727777777777945</v>
      </c>
      <c r="AE170" s="872">
        <f t="shared" si="25"/>
        <v>72.366666666665935</v>
      </c>
      <c r="AF170" s="872">
        <f t="shared" si="25"/>
        <v>55.666666666667403</v>
      </c>
      <c r="AG170" s="872">
        <f t="shared" si="25"/>
        <v>63.088888888888761</v>
      </c>
      <c r="AH170" s="872">
        <f t="shared" si="25"/>
        <v>67.727777777777945</v>
      </c>
      <c r="AI170" s="872">
        <f t="shared" si="25"/>
        <v>51.027777777777473</v>
      </c>
      <c r="AJ170" s="872">
        <f t="shared" si="25"/>
        <v>58.450000000000983</v>
      </c>
      <c r="AK170" s="872">
        <f t="shared" si="25"/>
        <v>63.088888888888761</v>
      </c>
    </row>
    <row r="171" spans="1:37" ht="13.5" thickBot="1">
      <c r="A171" s="868"/>
      <c r="B171" s="868"/>
      <c r="C171" s="868"/>
      <c r="D171" s="873">
        <f t="shared" si="23"/>
        <v>0.46666666666666551</v>
      </c>
      <c r="E171" s="872">
        <f t="shared" si="31"/>
        <v>130.66666666666788</v>
      </c>
      <c r="F171" s="872">
        <f t="shared" si="31"/>
        <v>138.13333333333458</v>
      </c>
      <c r="G171" s="872">
        <f t="shared" si="31"/>
        <v>142.79999999999944</v>
      </c>
      <c r="H171" s="872">
        <f t="shared" si="31"/>
        <v>121.33333333333212</v>
      </c>
      <c r="I171" s="872">
        <f t="shared" si="31"/>
        <v>128.79999999999819</v>
      </c>
      <c r="J171" s="872">
        <f t="shared" si="31"/>
        <v>133.46666666666638</v>
      </c>
      <c r="K171" s="872">
        <f t="shared" si="31"/>
        <v>112.00000000000148</v>
      </c>
      <c r="L171" s="872">
        <f t="shared" si="31"/>
        <v>119.46666666666715</v>
      </c>
      <c r="M171" s="872">
        <f t="shared" si="31"/>
        <v>124.13333333333495</v>
      </c>
      <c r="N171" s="872">
        <f t="shared" si="31"/>
        <v>84</v>
      </c>
      <c r="O171" s="872">
        <f t="shared" si="31"/>
        <v>91.466666666665333</v>
      </c>
      <c r="P171" s="872">
        <f t="shared" si="31"/>
        <v>96.133333333333212</v>
      </c>
      <c r="Q171" s="872">
        <f t="shared" si="31"/>
        <v>79.333333333332121</v>
      </c>
      <c r="R171" s="872">
        <f t="shared" si="31"/>
        <v>86.79999999999859</v>
      </c>
      <c r="S171" s="872">
        <f t="shared" si="31"/>
        <v>91.466666666665333</v>
      </c>
      <c r="T171" s="872">
        <f t="shared" si="31"/>
        <v>74.666666666665961</v>
      </c>
      <c r="U171" s="872">
        <f t="shared" si="28"/>
        <v>82.133333333333695</v>
      </c>
      <c r="V171" s="872">
        <f t="shared" si="28"/>
        <v>86.79999999999859</v>
      </c>
      <c r="W171" s="872">
        <f t="shared" si="28"/>
        <v>69.999999999999829</v>
      </c>
      <c r="X171" s="872">
        <f t="shared" si="28"/>
        <v>77.466666666667152</v>
      </c>
      <c r="Y171" s="872">
        <f t="shared" si="28"/>
        <v>82.133333333333695</v>
      </c>
      <c r="Z171" s="872">
        <f t="shared" si="28"/>
        <v>65.33333333333394</v>
      </c>
      <c r="AA171" s="872">
        <f t="shared" si="28"/>
        <v>72.799999999999272</v>
      </c>
      <c r="AB171" s="872">
        <f t="shared" si="28"/>
        <v>77.466666666667152</v>
      </c>
      <c r="AC171" s="872">
        <f t="shared" si="28"/>
        <v>60.66666666666606</v>
      </c>
      <c r="AD171" s="872">
        <f t="shared" si="28"/>
        <v>68.133333333333496</v>
      </c>
      <c r="AE171" s="872">
        <f t="shared" si="25"/>
        <v>72.799999999999272</v>
      </c>
      <c r="AF171" s="872">
        <f t="shared" si="25"/>
        <v>56.000000000000739</v>
      </c>
      <c r="AG171" s="872">
        <f t="shared" si="25"/>
        <v>63.466666666666541</v>
      </c>
      <c r="AH171" s="872">
        <f t="shared" si="25"/>
        <v>68.133333333333496</v>
      </c>
      <c r="AI171" s="872">
        <f t="shared" si="25"/>
        <v>51.33333333333303</v>
      </c>
      <c r="AJ171" s="872">
        <f t="shared" si="25"/>
        <v>58.800000000000985</v>
      </c>
      <c r="AK171" s="872">
        <f t="shared" si="25"/>
        <v>63.466666666666541</v>
      </c>
    </row>
    <row r="172" spans="1:37" ht="13.5" thickBot="1">
      <c r="A172" s="868"/>
      <c r="B172" s="868"/>
      <c r="C172" s="868"/>
      <c r="D172" s="873">
        <f t="shared" si="23"/>
        <v>0.46944444444444328</v>
      </c>
      <c r="E172" s="872">
        <f t="shared" si="31"/>
        <v>131.44444444444565</v>
      </c>
      <c r="F172" s="872">
        <f t="shared" si="31"/>
        <v>138.9555555555568</v>
      </c>
      <c r="G172" s="872">
        <f t="shared" si="31"/>
        <v>143.64999999999944</v>
      </c>
      <c r="H172" s="872">
        <f t="shared" si="31"/>
        <v>122.05555555555435</v>
      </c>
      <c r="I172" s="872">
        <f t="shared" si="31"/>
        <v>129.56666666666487</v>
      </c>
      <c r="J172" s="872">
        <f t="shared" si="31"/>
        <v>134.26111111111084</v>
      </c>
      <c r="K172" s="872">
        <f t="shared" si="31"/>
        <v>112.66666666666815</v>
      </c>
      <c r="L172" s="872">
        <f t="shared" si="31"/>
        <v>120.17777777777826</v>
      </c>
      <c r="M172" s="872">
        <f t="shared" si="31"/>
        <v>124.87222222222384</v>
      </c>
      <c r="N172" s="872">
        <f t="shared" si="31"/>
        <v>84.5</v>
      </c>
      <c r="O172" s="872">
        <f t="shared" si="31"/>
        <v>92.011111111109784</v>
      </c>
      <c r="P172" s="872">
        <f t="shared" si="31"/>
        <v>96.705555555555435</v>
      </c>
      <c r="Q172" s="872">
        <f t="shared" si="31"/>
        <v>79.805555555554349</v>
      </c>
      <c r="R172" s="872">
        <f t="shared" si="31"/>
        <v>87.316666666665256</v>
      </c>
      <c r="S172" s="872">
        <f t="shared" si="31"/>
        <v>92.011111111109784</v>
      </c>
      <c r="T172" s="872">
        <f t="shared" si="31"/>
        <v>75.111111111110404</v>
      </c>
      <c r="U172" s="872">
        <f t="shared" si="28"/>
        <v>82.622222222222589</v>
      </c>
      <c r="V172" s="872">
        <f t="shared" si="28"/>
        <v>87.316666666665256</v>
      </c>
      <c r="W172" s="872">
        <f t="shared" si="28"/>
        <v>70.416666666666501</v>
      </c>
      <c r="X172" s="872">
        <f t="shared" si="28"/>
        <v>77.92777777777826</v>
      </c>
      <c r="Y172" s="872">
        <f t="shared" si="28"/>
        <v>82.622222222222589</v>
      </c>
      <c r="Z172" s="872">
        <f t="shared" si="28"/>
        <v>65.722222222222825</v>
      </c>
      <c r="AA172" s="872">
        <f t="shared" si="28"/>
        <v>73.23333333333261</v>
      </c>
      <c r="AB172" s="872">
        <f t="shared" si="28"/>
        <v>77.92777777777826</v>
      </c>
      <c r="AC172" s="872">
        <f t="shared" si="28"/>
        <v>61.027777777777175</v>
      </c>
      <c r="AD172" s="872">
        <f t="shared" si="28"/>
        <v>68.538888888889048</v>
      </c>
      <c r="AE172" s="872">
        <f t="shared" si="25"/>
        <v>73.23333333333261</v>
      </c>
      <c r="AF172" s="872">
        <f t="shared" si="25"/>
        <v>56.333333333334075</v>
      </c>
      <c r="AG172" s="872">
        <f t="shared" si="25"/>
        <v>63.844444444444321</v>
      </c>
      <c r="AH172" s="872">
        <f t="shared" si="25"/>
        <v>68.538888888889048</v>
      </c>
      <c r="AI172" s="872">
        <f t="shared" si="25"/>
        <v>51.638888888888587</v>
      </c>
      <c r="AJ172" s="872">
        <f t="shared" si="25"/>
        <v>59.150000000000986</v>
      </c>
      <c r="AK172" s="872">
        <f t="shared" si="25"/>
        <v>63.844444444444321</v>
      </c>
    </row>
    <row r="173" spans="1:37" ht="13.5" thickBot="1">
      <c r="A173" s="868"/>
      <c r="B173" s="868"/>
      <c r="C173" s="868"/>
      <c r="D173" s="873">
        <f t="shared" si="23"/>
        <v>0.47222222222222104</v>
      </c>
      <c r="E173" s="872">
        <f t="shared" si="31"/>
        <v>132.22222222222342</v>
      </c>
      <c r="F173" s="872">
        <f t="shared" si="31"/>
        <v>139.77777777777902</v>
      </c>
      <c r="G173" s="872">
        <f t="shared" si="31"/>
        <v>144.49999999999943</v>
      </c>
      <c r="H173" s="872">
        <f t="shared" si="31"/>
        <v>122.77777777777658</v>
      </c>
      <c r="I173" s="872">
        <f t="shared" si="31"/>
        <v>130.33333333333155</v>
      </c>
      <c r="J173" s="872">
        <f t="shared" si="31"/>
        <v>135.05555555555529</v>
      </c>
      <c r="K173" s="872">
        <f t="shared" si="31"/>
        <v>113.33333333333482</v>
      </c>
      <c r="L173" s="872">
        <f t="shared" si="31"/>
        <v>120.88888888888937</v>
      </c>
      <c r="M173" s="872">
        <f t="shared" si="31"/>
        <v>125.61111111111273</v>
      </c>
      <c r="N173" s="872">
        <f t="shared" si="31"/>
        <v>85</v>
      </c>
      <c r="O173" s="872">
        <f t="shared" si="31"/>
        <v>92.555555555554236</v>
      </c>
      <c r="P173" s="872">
        <f t="shared" si="31"/>
        <v>97.277777777777658</v>
      </c>
      <c r="Q173" s="872">
        <f t="shared" si="31"/>
        <v>80.277777777776578</v>
      </c>
      <c r="R173" s="872">
        <f t="shared" si="31"/>
        <v>87.833333333331922</v>
      </c>
      <c r="S173" s="872">
        <f t="shared" si="31"/>
        <v>92.555555555554236</v>
      </c>
      <c r="T173" s="872">
        <f t="shared" si="31"/>
        <v>75.555555555554847</v>
      </c>
      <c r="U173" s="872">
        <f t="shared" si="28"/>
        <v>83.111111111111484</v>
      </c>
      <c r="V173" s="872">
        <f t="shared" si="28"/>
        <v>87.833333333331922</v>
      </c>
      <c r="W173" s="872">
        <f t="shared" si="28"/>
        <v>70.833333333333172</v>
      </c>
      <c r="X173" s="872">
        <f t="shared" si="28"/>
        <v>78.388888888889369</v>
      </c>
      <c r="Y173" s="872">
        <f t="shared" si="28"/>
        <v>83.111111111111484</v>
      </c>
      <c r="Z173" s="872">
        <f t="shared" si="28"/>
        <v>66.111111111111711</v>
      </c>
      <c r="AA173" s="872">
        <f t="shared" si="28"/>
        <v>73.666666666665947</v>
      </c>
      <c r="AB173" s="872">
        <f t="shared" si="28"/>
        <v>78.388888888889369</v>
      </c>
      <c r="AC173" s="872">
        <f t="shared" si="28"/>
        <v>61.388888888888289</v>
      </c>
      <c r="AD173" s="872">
        <f t="shared" si="28"/>
        <v>68.944444444444599</v>
      </c>
      <c r="AE173" s="872">
        <f t="shared" si="25"/>
        <v>73.666666666665947</v>
      </c>
      <c r="AF173" s="872">
        <f t="shared" si="25"/>
        <v>56.66666666666741</v>
      </c>
      <c r="AG173" s="872">
        <f t="shared" si="25"/>
        <v>64.222222222222101</v>
      </c>
      <c r="AH173" s="872">
        <f t="shared" si="25"/>
        <v>68.944444444444599</v>
      </c>
      <c r="AI173" s="872">
        <f t="shared" si="25"/>
        <v>51.944444444444144</v>
      </c>
      <c r="AJ173" s="872">
        <f t="shared" si="25"/>
        <v>59.500000000000988</v>
      </c>
      <c r="AK173" s="872">
        <f t="shared" si="25"/>
        <v>64.222222222222101</v>
      </c>
    </row>
    <row r="174" spans="1:37" ht="13.5" thickBot="1">
      <c r="A174" s="868"/>
      <c r="B174" s="868"/>
      <c r="C174" s="868"/>
      <c r="D174" s="873">
        <f t="shared" si="23"/>
        <v>0.47499999999999881</v>
      </c>
      <c r="E174" s="872">
        <f t="shared" si="31"/>
        <v>133.00000000000119</v>
      </c>
      <c r="F174" s="872">
        <f t="shared" si="31"/>
        <v>140.60000000000124</v>
      </c>
      <c r="G174" s="872">
        <f t="shared" si="31"/>
        <v>145.34999999999943</v>
      </c>
      <c r="H174" s="872">
        <f t="shared" si="31"/>
        <v>123.49999999999881</v>
      </c>
      <c r="I174" s="872">
        <f t="shared" si="31"/>
        <v>131.09999999999823</v>
      </c>
      <c r="J174" s="872">
        <f t="shared" si="31"/>
        <v>135.84999999999974</v>
      </c>
      <c r="K174" s="872">
        <f t="shared" si="31"/>
        <v>114.00000000000149</v>
      </c>
      <c r="L174" s="872">
        <f t="shared" si="31"/>
        <v>121.60000000000048</v>
      </c>
      <c r="M174" s="872">
        <f t="shared" si="31"/>
        <v>126.35000000000163</v>
      </c>
      <c r="N174" s="872">
        <f t="shared" si="31"/>
        <v>85.5</v>
      </c>
      <c r="O174" s="872">
        <f t="shared" si="31"/>
        <v>93.099999999998687</v>
      </c>
      <c r="P174" s="872">
        <f t="shared" si="31"/>
        <v>97.849999999999881</v>
      </c>
      <c r="Q174" s="872">
        <f t="shared" si="31"/>
        <v>80.749999999998806</v>
      </c>
      <c r="R174" s="872">
        <f t="shared" si="31"/>
        <v>88.349999999998587</v>
      </c>
      <c r="S174" s="872">
        <f t="shared" si="31"/>
        <v>93.099999999998687</v>
      </c>
      <c r="T174" s="872">
        <f t="shared" si="31"/>
        <v>75.999999999999289</v>
      </c>
      <c r="U174" s="872">
        <f t="shared" si="28"/>
        <v>83.600000000000378</v>
      </c>
      <c r="V174" s="872">
        <f t="shared" si="28"/>
        <v>88.349999999998587</v>
      </c>
      <c r="W174" s="872">
        <f t="shared" si="28"/>
        <v>71.249999999999844</v>
      </c>
      <c r="X174" s="872">
        <f t="shared" si="28"/>
        <v>78.850000000000477</v>
      </c>
      <c r="Y174" s="872">
        <f t="shared" si="28"/>
        <v>83.600000000000378</v>
      </c>
      <c r="Z174" s="872">
        <f t="shared" si="28"/>
        <v>66.500000000000597</v>
      </c>
      <c r="AA174" s="872">
        <f t="shared" si="28"/>
        <v>74.099999999999284</v>
      </c>
      <c r="AB174" s="872">
        <f t="shared" si="28"/>
        <v>78.850000000000477</v>
      </c>
      <c r="AC174" s="872">
        <f t="shared" si="28"/>
        <v>61.749999999999403</v>
      </c>
      <c r="AD174" s="872">
        <f t="shared" si="28"/>
        <v>69.350000000000151</v>
      </c>
      <c r="AE174" s="872">
        <f t="shared" si="25"/>
        <v>74.099999999999284</v>
      </c>
      <c r="AF174" s="872">
        <f t="shared" si="25"/>
        <v>57.000000000000746</v>
      </c>
      <c r="AG174" s="872">
        <f t="shared" si="25"/>
        <v>64.599999999999881</v>
      </c>
      <c r="AH174" s="872">
        <f t="shared" si="25"/>
        <v>69.350000000000151</v>
      </c>
      <c r="AI174" s="872">
        <f t="shared" si="25"/>
        <v>52.249999999999702</v>
      </c>
      <c r="AJ174" s="872">
        <f t="shared" ref="AF174:AK216" si="32">AJ175-(AJ$363/360)</f>
        <v>59.850000000000989</v>
      </c>
      <c r="AK174" s="872">
        <f t="shared" si="32"/>
        <v>64.599999999999881</v>
      </c>
    </row>
    <row r="175" spans="1:37" ht="13.5" thickBot="1">
      <c r="A175" s="868"/>
      <c r="B175" s="868"/>
      <c r="C175" s="868"/>
      <c r="D175" s="873">
        <f t="shared" si="23"/>
        <v>0.47777777777777658</v>
      </c>
      <c r="E175" s="872">
        <f t="shared" si="31"/>
        <v>133.77777777777897</v>
      </c>
      <c r="F175" s="872">
        <f t="shared" si="31"/>
        <v>141.42222222222347</v>
      </c>
      <c r="G175" s="872">
        <f t="shared" si="31"/>
        <v>146.19999999999942</v>
      </c>
      <c r="H175" s="872">
        <f t="shared" si="31"/>
        <v>124.22222222222103</v>
      </c>
      <c r="I175" s="872">
        <f t="shared" si="31"/>
        <v>131.86666666666491</v>
      </c>
      <c r="J175" s="872">
        <f t="shared" si="31"/>
        <v>136.64444444444419</v>
      </c>
      <c r="K175" s="872">
        <f t="shared" si="31"/>
        <v>114.66666666666816</v>
      </c>
      <c r="L175" s="872">
        <f t="shared" si="31"/>
        <v>122.31111111111159</v>
      </c>
      <c r="M175" s="872">
        <f t="shared" si="31"/>
        <v>127.08888888889052</v>
      </c>
      <c r="N175" s="872">
        <f t="shared" si="31"/>
        <v>86</v>
      </c>
      <c r="O175" s="872">
        <f t="shared" si="31"/>
        <v>93.644444444443138</v>
      </c>
      <c r="P175" s="872">
        <f t="shared" si="31"/>
        <v>98.422222222222103</v>
      </c>
      <c r="Q175" s="872">
        <f t="shared" si="31"/>
        <v>81.222222222221035</v>
      </c>
      <c r="R175" s="872">
        <f t="shared" si="31"/>
        <v>88.866666666665253</v>
      </c>
      <c r="S175" s="872">
        <f t="shared" si="31"/>
        <v>93.644444444443138</v>
      </c>
      <c r="T175" s="872">
        <f t="shared" si="31"/>
        <v>76.444444444443732</v>
      </c>
      <c r="U175" s="872">
        <f t="shared" si="28"/>
        <v>84.088888888889272</v>
      </c>
      <c r="V175" s="872">
        <f t="shared" si="28"/>
        <v>88.866666666665253</v>
      </c>
      <c r="W175" s="872">
        <f t="shared" si="28"/>
        <v>71.666666666666515</v>
      </c>
      <c r="X175" s="872">
        <f t="shared" si="28"/>
        <v>79.311111111111586</v>
      </c>
      <c r="Y175" s="872">
        <f t="shared" si="28"/>
        <v>84.088888888889272</v>
      </c>
      <c r="Z175" s="872">
        <f t="shared" si="28"/>
        <v>66.888888888889483</v>
      </c>
      <c r="AA175" s="872">
        <f t="shared" si="28"/>
        <v>74.533333333332621</v>
      </c>
      <c r="AB175" s="872">
        <f t="shared" si="28"/>
        <v>79.311111111111586</v>
      </c>
      <c r="AC175" s="872">
        <f t="shared" si="28"/>
        <v>62.111111111110517</v>
      </c>
      <c r="AD175" s="872">
        <f t="shared" si="28"/>
        <v>69.755555555555702</v>
      </c>
      <c r="AE175" s="872">
        <f t="shared" si="28"/>
        <v>74.533333333332621</v>
      </c>
      <c r="AF175" s="872">
        <f t="shared" si="32"/>
        <v>57.333333333334082</v>
      </c>
      <c r="AG175" s="872">
        <f t="shared" si="32"/>
        <v>64.977777777777661</v>
      </c>
      <c r="AH175" s="872">
        <f t="shared" si="32"/>
        <v>69.755555555555702</v>
      </c>
      <c r="AI175" s="872">
        <f t="shared" si="32"/>
        <v>52.555555555555259</v>
      </c>
      <c r="AJ175" s="872">
        <f t="shared" si="32"/>
        <v>60.20000000000099</v>
      </c>
      <c r="AK175" s="872">
        <f t="shared" si="32"/>
        <v>64.977777777777661</v>
      </c>
    </row>
    <row r="176" spans="1:37" ht="13.5" thickBot="1">
      <c r="A176" s="868"/>
      <c r="B176" s="868"/>
      <c r="C176" s="868"/>
      <c r="D176" s="873">
        <f t="shared" si="23"/>
        <v>0.48055555555555435</v>
      </c>
      <c r="E176" s="872">
        <f t="shared" si="31"/>
        <v>134.55555555555674</v>
      </c>
      <c r="F176" s="872">
        <f t="shared" si="31"/>
        <v>142.24444444444569</v>
      </c>
      <c r="G176" s="872">
        <f t="shared" si="31"/>
        <v>147.04999999999941</v>
      </c>
      <c r="H176" s="872">
        <f t="shared" si="31"/>
        <v>124.94444444444326</v>
      </c>
      <c r="I176" s="872">
        <f t="shared" si="31"/>
        <v>132.63333333333159</v>
      </c>
      <c r="J176" s="872">
        <f t="shared" si="31"/>
        <v>137.43888888888864</v>
      </c>
      <c r="K176" s="872">
        <f t="shared" si="31"/>
        <v>115.33333333333483</v>
      </c>
      <c r="L176" s="872">
        <f t="shared" si="31"/>
        <v>123.02222222222269</v>
      </c>
      <c r="M176" s="872">
        <f t="shared" si="31"/>
        <v>127.82777777777942</v>
      </c>
      <c r="N176" s="872">
        <f t="shared" si="31"/>
        <v>86.5</v>
      </c>
      <c r="O176" s="872">
        <f t="shared" si="31"/>
        <v>94.18888888888759</v>
      </c>
      <c r="P176" s="872">
        <f t="shared" si="31"/>
        <v>98.994444444444326</v>
      </c>
      <c r="Q176" s="872">
        <f t="shared" si="31"/>
        <v>81.694444444443263</v>
      </c>
      <c r="R176" s="872">
        <f t="shared" si="31"/>
        <v>89.383333333331919</v>
      </c>
      <c r="S176" s="872">
        <f t="shared" si="31"/>
        <v>94.18888888888759</v>
      </c>
      <c r="T176" s="872">
        <f t="shared" si="31"/>
        <v>76.888888888888175</v>
      </c>
      <c r="U176" s="872">
        <f t="shared" si="28"/>
        <v>84.577777777778167</v>
      </c>
      <c r="V176" s="872">
        <f t="shared" si="28"/>
        <v>89.383333333331919</v>
      </c>
      <c r="W176" s="872">
        <f t="shared" si="28"/>
        <v>72.083333333333186</v>
      </c>
      <c r="X176" s="872">
        <f t="shared" si="28"/>
        <v>79.772222222222695</v>
      </c>
      <c r="Y176" s="872">
        <f t="shared" si="28"/>
        <v>84.577777777778167</v>
      </c>
      <c r="Z176" s="872">
        <f t="shared" si="28"/>
        <v>67.277777777778368</v>
      </c>
      <c r="AA176" s="872">
        <f t="shared" si="28"/>
        <v>74.966666666665958</v>
      </c>
      <c r="AB176" s="872">
        <f t="shared" si="28"/>
        <v>79.772222222222695</v>
      </c>
      <c r="AC176" s="872">
        <f t="shared" si="28"/>
        <v>62.472222222221632</v>
      </c>
      <c r="AD176" s="872">
        <f t="shared" si="28"/>
        <v>70.161111111111254</v>
      </c>
      <c r="AE176" s="872">
        <f t="shared" si="28"/>
        <v>74.966666666665958</v>
      </c>
      <c r="AF176" s="872">
        <f t="shared" si="32"/>
        <v>57.666666666667417</v>
      </c>
      <c r="AG176" s="872">
        <f t="shared" si="32"/>
        <v>65.355555555555441</v>
      </c>
      <c r="AH176" s="872">
        <f t="shared" si="32"/>
        <v>70.161111111111254</v>
      </c>
      <c r="AI176" s="872">
        <f t="shared" si="32"/>
        <v>52.861111111110816</v>
      </c>
      <c r="AJ176" s="872">
        <f t="shared" si="32"/>
        <v>60.550000000000992</v>
      </c>
      <c r="AK176" s="872">
        <f t="shared" si="32"/>
        <v>65.355555555555441</v>
      </c>
    </row>
    <row r="177" spans="1:37" ht="13.5" thickBot="1">
      <c r="A177" s="868"/>
      <c r="B177" s="868"/>
      <c r="C177" s="868"/>
      <c r="D177" s="873">
        <f t="shared" si="23"/>
        <v>0.48333333333333212</v>
      </c>
      <c r="E177" s="872">
        <f t="shared" si="31"/>
        <v>135.33333333333451</v>
      </c>
      <c r="F177" s="872">
        <f t="shared" si="31"/>
        <v>143.06666666666791</v>
      </c>
      <c r="G177" s="872">
        <f t="shared" si="31"/>
        <v>147.89999999999941</v>
      </c>
      <c r="H177" s="872">
        <f t="shared" si="31"/>
        <v>125.66666666666549</v>
      </c>
      <c r="I177" s="872">
        <f t="shared" si="31"/>
        <v>133.39999999999827</v>
      </c>
      <c r="J177" s="872">
        <f t="shared" si="31"/>
        <v>138.23333333333309</v>
      </c>
      <c r="K177" s="872">
        <f t="shared" si="31"/>
        <v>116.00000000000151</v>
      </c>
      <c r="L177" s="872">
        <f t="shared" si="31"/>
        <v>123.7333333333338</v>
      </c>
      <c r="M177" s="872">
        <f t="shared" si="31"/>
        <v>128.56666666666831</v>
      </c>
      <c r="N177" s="872">
        <f t="shared" si="31"/>
        <v>87</v>
      </c>
      <c r="O177" s="872">
        <f t="shared" si="31"/>
        <v>94.733333333332041</v>
      </c>
      <c r="P177" s="872">
        <f t="shared" si="31"/>
        <v>99.566666666666549</v>
      </c>
      <c r="Q177" s="872">
        <f t="shared" si="31"/>
        <v>82.166666666665492</v>
      </c>
      <c r="R177" s="872">
        <f t="shared" si="31"/>
        <v>89.899999999998585</v>
      </c>
      <c r="S177" s="872">
        <f t="shared" si="31"/>
        <v>94.733333333332041</v>
      </c>
      <c r="T177" s="872">
        <f t="shared" si="31"/>
        <v>77.333333333332618</v>
      </c>
      <c r="U177" s="872">
        <f t="shared" si="28"/>
        <v>85.066666666667061</v>
      </c>
      <c r="V177" s="872">
        <f t="shared" si="28"/>
        <v>89.899999999998585</v>
      </c>
      <c r="W177" s="872">
        <f t="shared" si="28"/>
        <v>72.499999999999858</v>
      </c>
      <c r="X177" s="872">
        <f t="shared" si="28"/>
        <v>80.233333333333803</v>
      </c>
      <c r="Y177" s="872">
        <f t="shared" si="28"/>
        <v>85.066666666667061</v>
      </c>
      <c r="Z177" s="872">
        <f t="shared" si="28"/>
        <v>67.666666666667254</v>
      </c>
      <c r="AA177" s="872">
        <f t="shared" si="28"/>
        <v>75.399999999999295</v>
      </c>
      <c r="AB177" s="872">
        <f t="shared" si="28"/>
        <v>80.233333333333803</v>
      </c>
      <c r="AC177" s="872">
        <f t="shared" si="28"/>
        <v>62.833333333332746</v>
      </c>
      <c r="AD177" s="872">
        <f t="shared" si="28"/>
        <v>70.566666666666805</v>
      </c>
      <c r="AE177" s="872">
        <f t="shared" si="28"/>
        <v>75.399999999999295</v>
      </c>
      <c r="AF177" s="872">
        <f t="shared" si="32"/>
        <v>58.000000000000753</v>
      </c>
      <c r="AG177" s="872">
        <f t="shared" si="32"/>
        <v>65.733333333333221</v>
      </c>
      <c r="AH177" s="872">
        <f t="shared" si="32"/>
        <v>70.566666666666805</v>
      </c>
      <c r="AI177" s="872">
        <f t="shared" si="32"/>
        <v>53.166666666666373</v>
      </c>
      <c r="AJ177" s="872">
        <f t="shared" si="32"/>
        <v>60.900000000000993</v>
      </c>
      <c r="AK177" s="872">
        <f t="shared" si="32"/>
        <v>65.733333333333221</v>
      </c>
    </row>
    <row r="178" spans="1:37" ht="13.5" thickBot="1">
      <c r="A178" s="868"/>
      <c r="B178" s="868"/>
      <c r="C178" s="868"/>
      <c r="D178" s="873">
        <f t="shared" si="23"/>
        <v>0.48611111111110988</v>
      </c>
      <c r="E178" s="872">
        <f t="shared" si="31"/>
        <v>136.11111111111228</v>
      </c>
      <c r="F178" s="872">
        <f t="shared" si="31"/>
        <v>143.88888888889014</v>
      </c>
      <c r="G178" s="872">
        <f t="shared" si="31"/>
        <v>148.7499999999994</v>
      </c>
      <c r="H178" s="872">
        <f t="shared" si="31"/>
        <v>126.38888888888772</v>
      </c>
      <c r="I178" s="872">
        <f t="shared" si="31"/>
        <v>134.16666666666495</v>
      </c>
      <c r="J178" s="872">
        <f t="shared" si="31"/>
        <v>139.02777777777754</v>
      </c>
      <c r="K178" s="872">
        <f t="shared" si="31"/>
        <v>116.66666666666818</v>
      </c>
      <c r="L178" s="872">
        <f t="shared" si="31"/>
        <v>124.44444444444491</v>
      </c>
      <c r="M178" s="872">
        <f t="shared" si="31"/>
        <v>129.30555555555719</v>
      </c>
      <c r="N178" s="872">
        <f t="shared" si="31"/>
        <v>87.5</v>
      </c>
      <c r="O178" s="872">
        <f t="shared" si="31"/>
        <v>95.277777777776492</v>
      </c>
      <c r="P178" s="872">
        <f t="shared" si="31"/>
        <v>100.13888888888877</v>
      </c>
      <c r="Q178" s="872">
        <f t="shared" si="31"/>
        <v>82.63888888888772</v>
      </c>
      <c r="R178" s="872">
        <f t="shared" si="31"/>
        <v>90.41666666666525</v>
      </c>
      <c r="S178" s="872">
        <f t="shared" si="31"/>
        <v>95.277777777776492</v>
      </c>
      <c r="T178" s="872">
        <f t="shared" si="31"/>
        <v>77.777777777777061</v>
      </c>
      <c r="U178" s="872">
        <f t="shared" si="28"/>
        <v>85.555555555555955</v>
      </c>
      <c r="V178" s="872">
        <f t="shared" si="28"/>
        <v>90.41666666666525</v>
      </c>
      <c r="W178" s="872">
        <f t="shared" si="28"/>
        <v>72.916666666666529</v>
      </c>
      <c r="X178" s="872">
        <f t="shared" si="28"/>
        <v>80.694444444444912</v>
      </c>
      <c r="Y178" s="872">
        <f t="shared" si="28"/>
        <v>85.555555555555955</v>
      </c>
      <c r="Z178" s="872">
        <f t="shared" si="28"/>
        <v>68.05555555555614</v>
      </c>
      <c r="AA178" s="872">
        <f t="shared" si="28"/>
        <v>75.833333333332632</v>
      </c>
      <c r="AB178" s="872">
        <f t="shared" si="28"/>
        <v>80.694444444444912</v>
      </c>
      <c r="AC178" s="872">
        <f t="shared" si="28"/>
        <v>63.19444444444386</v>
      </c>
      <c r="AD178" s="872">
        <f t="shared" si="28"/>
        <v>70.972222222222356</v>
      </c>
      <c r="AE178" s="872">
        <f t="shared" si="28"/>
        <v>75.833333333332632</v>
      </c>
      <c r="AF178" s="872">
        <f t="shared" si="32"/>
        <v>58.333333333334089</v>
      </c>
      <c r="AG178" s="872">
        <f t="shared" si="32"/>
        <v>66.111111111111001</v>
      </c>
      <c r="AH178" s="872">
        <f t="shared" si="32"/>
        <v>70.972222222222356</v>
      </c>
      <c r="AI178" s="872">
        <f t="shared" si="32"/>
        <v>53.47222222222193</v>
      </c>
      <c r="AJ178" s="872">
        <f t="shared" si="32"/>
        <v>61.250000000000995</v>
      </c>
      <c r="AK178" s="872">
        <f t="shared" si="32"/>
        <v>66.111111111111001</v>
      </c>
    </row>
    <row r="179" spans="1:37" ht="13.5" thickBot="1">
      <c r="A179" s="868"/>
      <c r="B179" s="868"/>
      <c r="C179" s="868"/>
      <c r="D179" s="873">
        <f t="shared" si="23"/>
        <v>0.48888888888888765</v>
      </c>
      <c r="E179" s="872">
        <f t="shared" si="31"/>
        <v>136.88888888889005</v>
      </c>
      <c r="F179" s="872">
        <f t="shared" si="31"/>
        <v>144.71111111111236</v>
      </c>
      <c r="G179" s="872">
        <f t="shared" si="31"/>
        <v>149.5999999999994</v>
      </c>
      <c r="H179" s="872">
        <f t="shared" si="31"/>
        <v>127.11111111110995</v>
      </c>
      <c r="I179" s="872">
        <f t="shared" si="31"/>
        <v>134.93333333333163</v>
      </c>
      <c r="J179" s="872">
        <f t="shared" si="31"/>
        <v>139.822222222222</v>
      </c>
      <c r="K179" s="872">
        <f t="shared" si="31"/>
        <v>117.33333333333485</v>
      </c>
      <c r="L179" s="872">
        <f t="shared" si="31"/>
        <v>125.15555555555602</v>
      </c>
      <c r="M179" s="872">
        <f t="shared" si="31"/>
        <v>130.04444444444607</v>
      </c>
      <c r="N179" s="872">
        <f t="shared" si="31"/>
        <v>88</v>
      </c>
      <c r="O179" s="872">
        <f t="shared" si="31"/>
        <v>95.822222222220944</v>
      </c>
      <c r="P179" s="872">
        <f t="shared" si="31"/>
        <v>100.71111111111099</v>
      </c>
      <c r="Q179" s="872">
        <f t="shared" si="31"/>
        <v>83.111111111109949</v>
      </c>
      <c r="R179" s="872">
        <f t="shared" si="31"/>
        <v>90.933333333331916</v>
      </c>
      <c r="S179" s="872">
        <f t="shared" si="31"/>
        <v>95.822222222220944</v>
      </c>
      <c r="T179" s="872">
        <f t="shared" si="31"/>
        <v>78.222222222221504</v>
      </c>
      <c r="U179" s="872">
        <f t="shared" si="28"/>
        <v>86.044444444444849</v>
      </c>
      <c r="V179" s="872">
        <f t="shared" si="28"/>
        <v>90.933333333331916</v>
      </c>
      <c r="W179" s="872">
        <f t="shared" si="28"/>
        <v>73.333333333333201</v>
      </c>
      <c r="X179" s="872">
        <f t="shared" si="28"/>
        <v>81.15555555555602</v>
      </c>
      <c r="Y179" s="872">
        <f t="shared" si="28"/>
        <v>86.044444444444849</v>
      </c>
      <c r="Z179" s="872">
        <f t="shared" si="28"/>
        <v>68.444444444445026</v>
      </c>
      <c r="AA179" s="872">
        <f t="shared" si="28"/>
        <v>76.266666666665969</v>
      </c>
      <c r="AB179" s="872">
        <f t="shared" si="28"/>
        <v>81.15555555555602</v>
      </c>
      <c r="AC179" s="872">
        <f t="shared" si="28"/>
        <v>63.555555555554974</v>
      </c>
      <c r="AD179" s="872">
        <f t="shared" si="28"/>
        <v>71.377777777777908</v>
      </c>
      <c r="AE179" s="872">
        <f t="shared" si="28"/>
        <v>76.266666666665969</v>
      </c>
      <c r="AF179" s="872">
        <f t="shared" si="32"/>
        <v>58.666666666667425</v>
      </c>
      <c r="AG179" s="872">
        <f t="shared" si="32"/>
        <v>66.488888888888781</v>
      </c>
      <c r="AH179" s="872">
        <f t="shared" si="32"/>
        <v>71.377777777777908</v>
      </c>
      <c r="AI179" s="872">
        <f t="shared" si="32"/>
        <v>53.777777777777487</v>
      </c>
      <c r="AJ179" s="872">
        <f t="shared" si="32"/>
        <v>61.600000000000996</v>
      </c>
      <c r="AK179" s="872">
        <f t="shared" si="32"/>
        <v>66.488888888888781</v>
      </c>
    </row>
    <row r="180" spans="1:37" ht="13.5" thickBot="1">
      <c r="A180" s="868"/>
      <c r="B180" s="868"/>
      <c r="C180" s="868"/>
      <c r="D180" s="873">
        <f t="shared" si="23"/>
        <v>0.49166666666666542</v>
      </c>
      <c r="E180" s="872">
        <f t="shared" si="31"/>
        <v>137.66666666666782</v>
      </c>
      <c r="F180" s="872">
        <f t="shared" si="31"/>
        <v>145.53333333333458</v>
      </c>
      <c r="G180" s="872">
        <f t="shared" si="31"/>
        <v>150.44999999999939</v>
      </c>
      <c r="H180" s="872">
        <f t="shared" si="31"/>
        <v>127.83333333333218</v>
      </c>
      <c r="I180" s="872">
        <f t="shared" si="31"/>
        <v>135.69999999999831</v>
      </c>
      <c r="J180" s="872">
        <f t="shared" si="31"/>
        <v>140.61666666666645</v>
      </c>
      <c r="K180" s="872">
        <f t="shared" si="31"/>
        <v>118.00000000000152</v>
      </c>
      <c r="L180" s="872">
        <f t="shared" si="31"/>
        <v>125.86666666666713</v>
      </c>
      <c r="M180" s="872">
        <f t="shared" si="31"/>
        <v>130.78333333333495</v>
      </c>
      <c r="N180" s="872">
        <f t="shared" si="31"/>
        <v>88.5</v>
      </c>
      <c r="O180" s="872">
        <f t="shared" si="31"/>
        <v>96.366666666665395</v>
      </c>
      <c r="P180" s="872">
        <f t="shared" si="31"/>
        <v>101.28333333333322</v>
      </c>
      <c r="Q180" s="872">
        <f t="shared" si="31"/>
        <v>83.583333333332178</v>
      </c>
      <c r="R180" s="872">
        <f t="shared" si="31"/>
        <v>91.449999999998582</v>
      </c>
      <c r="S180" s="872">
        <f t="shared" si="31"/>
        <v>96.366666666665395</v>
      </c>
      <c r="T180" s="872">
        <f t="shared" si="31"/>
        <v>78.666666666665947</v>
      </c>
      <c r="U180" s="872">
        <f t="shared" si="28"/>
        <v>86.533333333333744</v>
      </c>
      <c r="V180" s="872">
        <f t="shared" si="28"/>
        <v>91.449999999998582</v>
      </c>
      <c r="W180" s="872">
        <f t="shared" si="28"/>
        <v>73.749999999999872</v>
      </c>
      <c r="X180" s="872">
        <f t="shared" si="28"/>
        <v>81.616666666667129</v>
      </c>
      <c r="Y180" s="872">
        <f t="shared" si="28"/>
        <v>86.533333333333744</v>
      </c>
      <c r="Z180" s="872">
        <f t="shared" si="28"/>
        <v>68.833333333333911</v>
      </c>
      <c r="AA180" s="872">
        <f t="shared" si="28"/>
        <v>76.699999999999307</v>
      </c>
      <c r="AB180" s="872">
        <f t="shared" si="28"/>
        <v>81.616666666667129</v>
      </c>
      <c r="AC180" s="872">
        <f t="shared" si="28"/>
        <v>63.916666666666089</v>
      </c>
      <c r="AD180" s="872">
        <f t="shared" si="28"/>
        <v>71.783333333333459</v>
      </c>
      <c r="AE180" s="872">
        <f t="shared" si="28"/>
        <v>76.699999999999307</v>
      </c>
      <c r="AF180" s="872">
        <f t="shared" si="32"/>
        <v>59.00000000000076</v>
      </c>
      <c r="AG180" s="872">
        <f t="shared" si="32"/>
        <v>66.866666666666561</v>
      </c>
      <c r="AH180" s="872">
        <f t="shared" si="32"/>
        <v>71.783333333333459</v>
      </c>
      <c r="AI180" s="872">
        <f t="shared" si="32"/>
        <v>54.083333333333044</v>
      </c>
      <c r="AJ180" s="872">
        <f t="shared" si="32"/>
        <v>61.950000000000998</v>
      </c>
      <c r="AK180" s="872">
        <f t="shared" si="32"/>
        <v>66.866666666666561</v>
      </c>
    </row>
    <row r="181" spans="1:37" ht="13.5" thickBot="1">
      <c r="A181" s="868"/>
      <c r="B181" s="868"/>
      <c r="C181" s="868"/>
      <c r="D181" s="873">
        <f t="shared" si="23"/>
        <v>0.49444444444444319</v>
      </c>
      <c r="E181" s="872">
        <f t="shared" si="31"/>
        <v>138.44444444444559</v>
      </c>
      <c r="F181" s="872">
        <f t="shared" si="31"/>
        <v>146.3555555555568</v>
      </c>
      <c r="G181" s="872">
        <f t="shared" si="31"/>
        <v>151.29999999999939</v>
      </c>
      <c r="H181" s="872">
        <f t="shared" si="31"/>
        <v>128.55555555555441</v>
      </c>
      <c r="I181" s="872">
        <f t="shared" si="31"/>
        <v>136.46666666666499</v>
      </c>
      <c r="J181" s="872">
        <f t="shared" si="31"/>
        <v>141.4111111111109</v>
      </c>
      <c r="K181" s="872">
        <f t="shared" si="31"/>
        <v>118.66666666666819</v>
      </c>
      <c r="L181" s="872">
        <f t="shared" si="31"/>
        <v>126.57777777777824</v>
      </c>
      <c r="M181" s="872">
        <f t="shared" si="31"/>
        <v>131.52222222222383</v>
      </c>
      <c r="N181" s="872">
        <f t="shared" si="31"/>
        <v>89</v>
      </c>
      <c r="O181" s="872">
        <f t="shared" si="31"/>
        <v>96.911111111109847</v>
      </c>
      <c r="P181" s="872">
        <f t="shared" si="31"/>
        <v>101.85555555555544</v>
      </c>
      <c r="Q181" s="872">
        <f t="shared" si="31"/>
        <v>84.055555555554406</v>
      </c>
      <c r="R181" s="872">
        <f t="shared" si="31"/>
        <v>91.966666666665247</v>
      </c>
      <c r="S181" s="872">
        <f t="shared" si="31"/>
        <v>96.911111111109847</v>
      </c>
      <c r="T181" s="872">
        <f t="shared" si="31"/>
        <v>79.11111111111039</v>
      </c>
      <c r="U181" s="872">
        <f t="shared" si="28"/>
        <v>87.022222222222638</v>
      </c>
      <c r="V181" s="872">
        <f t="shared" si="28"/>
        <v>91.966666666665247</v>
      </c>
      <c r="W181" s="872">
        <f t="shared" si="28"/>
        <v>74.166666666666544</v>
      </c>
      <c r="X181" s="872">
        <f t="shared" si="28"/>
        <v>82.077777777778238</v>
      </c>
      <c r="Y181" s="872">
        <f t="shared" si="28"/>
        <v>87.022222222222638</v>
      </c>
      <c r="Z181" s="872">
        <f t="shared" si="28"/>
        <v>69.222222222222797</v>
      </c>
      <c r="AA181" s="872">
        <f t="shared" si="28"/>
        <v>77.133333333332644</v>
      </c>
      <c r="AB181" s="872">
        <f t="shared" si="28"/>
        <v>82.077777777778238</v>
      </c>
      <c r="AC181" s="872">
        <f t="shared" si="28"/>
        <v>64.277777777777203</v>
      </c>
      <c r="AD181" s="872">
        <f t="shared" si="28"/>
        <v>72.188888888889011</v>
      </c>
      <c r="AE181" s="872">
        <f t="shared" si="28"/>
        <v>77.133333333332644</v>
      </c>
      <c r="AF181" s="872">
        <f t="shared" si="32"/>
        <v>59.333333333334096</v>
      </c>
      <c r="AG181" s="872">
        <f t="shared" si="32"/>
        <v>67.244444444444341</v>
      </c>
      <c r="AH181" s="872">
        <f t="shared" si="32"/>
        <v>72.188888888889011</v>
      </c>
      <c r="AI181" s="872">
        <f t="shared" si="32"/>
        <v>54.388888888888602</v>
      </c>
      <c r="AJ181" s="872">
        <f t="shared" si="32"/>
        <v>62.300000000000999</v>
      </c>
      <c r="AK181" s="872">
        <f t="shared" si="32"/>
        <v>67.244444444444341</v>
      </c>
    </row>
    <row r="182" spans="1:37" ht="13.5" thickBot="1">
      <c r="A182" s="868"/>
      <c r="B182" s="868"/>
      <c r="C182" s="868"/>
      <c r="D182" s="873">
        <f t="shared" si="23"/>
        <v>0.49722222222222096</v>
      </c>
      <c r="E182" s="872">
        <f t="shared" si="31"/>
        <v>139.22222222222337</v>
      </c>
      <c r="F182" s="872">
        <f t="shared" si="31"/>
        <v>147.17777777777903</v>
      </c>
      <c r="G182" s="872">
        <f t="shared" si="31"/>
        <v>152.14999999999938</v>
      </c>
      <c r="H182" s="872">
        <f t="shared" si="31"/>
        <v>129.27777777777663</v>
      </c>
      <c r="I182" s="872">
        <f t="shared" si="31"/>
        <v>137.23333333333167</v>
      </c>
      <c r="J182" s="872">
        <f t="shared" si="31"/>
        <v>142.20555555555535</v>
      </c>
      <c r="K182" s="872">
        <f t="shared" si="31"/>
        <v>119.33333333333486</v>
      </c>
      <c r="L182" s="872">
        <f t="shared" si="31"/>
        <v>127.28888888888935</v>
      </c>
      <c r="M182" s="872">
        <f t="shared" si="31"/>
        <v>132.26111111111271</v>
      </c>
      <c r="N182" s="872">
        <f t="shared" si="31"/>
        <v>89.5</v>
      </c>
      <c r="O182" s="872">
        <f t="shared" si="31"/>
        <v>97.455555555554298</v>
      </c>
      <c r="P182" s="872">
        <f t="shared" si="31"/>
        <v>102.42777777777766</v>
      </c>
      <c r="Q182" s="872">
        <f t="shared" si="31"/>
        <v>84.527777777776635</v>
      </c>
      <c r="R182" s="872">
        <f t="shared" si="31"/>
        <v>92.483333333331913</v>
      </c>
      <c r="S182" s="872">
        <f t="shared" si="31"/>
        <v>97.455555555554298</v>
      </c>
      <c r="T182" s="872">
        <f t="shared" si="31"/>
        <v>79.555555555554832</v>
      </c>
      <c r="U182" s="872">
        <f t="shared" si="28"/>
        <v>87.511111111111532</v>
      </c>
      <c r="V182" s="872">
        <f t="shared" si="28"/>
        <v>92.483333333331913</v>
      </c>
      <c r="W182" s="872">
        <f t="shared" si="28"/>
        <v>74.583333333333215</v>
      </c>
      <c r="X182" s="872">
        <f t="shared" si="28"/>
        <v>82.538888888889346</v>
      </c>
      <c r="Y182" s="872">
        <f t="shared" si="28"/>
        <v>87.511111111111532</v>
      </c>
      <c r="Z182" s="872">
        <f t="shared" si="28"/>
        <v>69.611111111111683</v>
      </c>
      <c r="AA182" s="872">
        <f t="shared" si="28"/>
        <v>77.566666666665981</v>
      </c>
      <c r="AB182" s="872">
        <f t="shared" si="28"/>
        <v>82.538888888889346</v>
      </c>
      <c r="AC182" s="872">
        <f t="shared" si="28"/>
        <v>64.638888888888317</v>
      </c>
      <c r="AD182" s="872">
        <f t="shared" si="28"/>
        <v>72.594444444444562</v>
      </c>
      <c r="AE182" s="872">
        <f t="shared" si="28"/>
        <v>77.566666666665981</v>
      </c>
      <c r="AF182" s="872">
        <f t="shared" si="32"/>
        <v>59.666666666667432</v>
      </c>
      <c r="AG182" s="872">
        <f t="shared" si="32"/>
        <v>67.622222222222121</v>
      </c>
      <c r="AH182" s="872">
        <f t="shared" si="32"/>
        <v>72.594444444444562</v>
      </c>
      <c r="AI182" s="872">
        <f t="shared" si="32"/>
        <v>54.694444444444159</v>
      </c>
      <c r="AJ182" s="872">
        <f t="shared" si="32"/>
        <v>62.650000000001</v>
      </c>
      <c r="AK182" s="872">
        <f t="shared" si="32"/>
        <v>67.622222222222121</v>
      </c>
    </row>
    <row r="183" spans="1:37" ht="13.5" thickBot="1">
      <c r="A183" s="868"/>
      <c r="B183" s="868"/>
      <c r="C183" s="868"/>
      <c r="D183" s="873">
        <f t="shared" si="23"/>
        <v>0.49999999999999872</v>
      </c>
      <c r="E183" s="872">
        <f t="shared" si="31"/>
        <v>140.00000000000114</v>
      </c>
      <c r="F183" s="872">
        <f t="shared" si="31"/>
        <v>148.00000000000125</v>
      </c>
      <c r="G183" s="872">
        <f t="shared" si="31"/>
        <v>152.99999999999937</v>
      </c>
      <c r="H183" s="872">
        <f t="shared" si="31"/>
        <v>129.99999999999886</v>
      </c>
      <c r="I183" s="872">
        <f t="shared" si="31"/>
        <v>137.99999999999835</v>
      </c>
      <c r="J183" s="872">
        <f t="shared" si="31"/>
        <v>142.9999999999998</v>
      </c>
      <c r="K183" s="872">
        <f t="shared" si="31"/>
        <v>120.00000000000153</v>
      </c>
      <c r="L183" s="872">
        <f t="shared" si="31"/>
        <v>128.00000000000045</v>
      </c>
      <c r="M183" s="872">
        <f t="shared" si="31"/>
        <v>133.00000000000159</v>
      </c>
      <c r="N183" s="872">
        <f t="shared" si="31"/>
        <v>90</v>
      </c>
      <c r="O183" s="872">
        <f t="shared" si="31"/>
        <v>97.999999999998749</v>
      </c>
      <c r="P183" s="872">
        <f t="shared" si="31"/>
        <v>102.99999999999989</v>
      </c>
      <c r="Q183" s="872">
        <f t="shared" si="31"/>
        <v>84.999999999998863</v>
      </c>
      <c r="R183" s="872">
        <f t="shared" si="31"/>
        <v>92.999999999998579</v>
      </c>
      <c r="S183" s="872">
        <f t="shared" si="31"/>
        <v>97.999999999998749</v>
      </c>
      <c r="T183" s="872">
        <f t="shared" si="31"/>
        <v>79.999999999999275</v>
      </c>
      <c r="U183" s="872">
        <f t="shared" si="28"/>
        <v>88.000000000000426</v>
      </c>
      <c r="V183" s="872">
        <f t="shared" si="28"/>
        <v>92.999999999998579</v>
      </c>
      <c r="W183" s="872">
        <f t="shared" si="28"/>
        <v>74.999999999999886</v>
      </c>
      <c r="X183" s="872">
        <f t="shared" si="28"/>
        <v>83.000000000000455</v>
      </c>
      <c r="Y183" s="872">
        <f t="shared" si="28"/>
        <v>88.000000000000426</v>
      </c>
      <c r="Z183" s="872">
        <f t="shared" si="28"/>
        <v>70.000000000000568</v>
      </c>
      <c r="AA183" s="872">
        <f t="shared" si="28"/>
        <v>77.999999999999318</v>
      </c>
      <c r="AB183" s="872">
        <f t="shared" si="28"/>
        <v>83.000000000000455</v>
      </c>
      <c r="AC183" s="872">
        <f t="shared" si="28"/>
        <v>64.999999999999432</v>
      </c>
      <c r="AD183" s="872">
        <f t="shared" si="28"/>
        <v>73.000000000000114</v>
      </c>
      <c r="AE183" s="872">
        <f t="shared" ref="AA183:AE199" si="33">AE184-(AE$363/360)</f>
        <v>77.999999999999318</v>
      </c>
      <c r="AF183" s="872">
        <f t="shared" si="32"/>
        <v>60.000000000000767</v>
      </c>
      <c r="AG183" s="872">
        <f t="shared" si="32"/>
        <v>67.999999999999901</v>
      </c>
      <c r="AH183" s="872">
        <f t="shared" si="32"/>
        <v>73.000000000000114</v>
      </c>
      <c r="AI183" s="872">
        <f t="shared" si="32"/>
        <v>54.999999999999716</v>
      </c>
      <c r="AJ183" s="872">
        <f t="shared" si="32"/>
        <v>63.000000000001002</v>
      </c>
      <c r="AK183" s="872">
        <f t="shared" si="32"/>
        <v>67.999999999999901</v>
      </c>
    </row>
    <row r="184" spans="1:37" ht="13.5" thickBot="1">
      <c r="A184" s="868"/>
      <c r="B184" s="868"/>
      <c r="C184" s="868"/>
      <c r="D184" s="873">
        <f t="shared" si="23"/>
        <v>0.50277777777777655</v>
      </c>
      <c r="E184" s="872">
        <f t="shared" ref="E184:T199" si="34">E185-(E$363/360)</f>
        <v>140.77777777777891</v>
      </c>
      <c r="F184" s="872">
        <f t="shared" si="34"/>
        <v>148.82222222222347</v>
      </c>
      <c r="G184" s="872">
        <f t="shared" si="34"/>
        <v>153.84999999999937</v>
      </c>
      <c r="H184" s="872">
        <f t="shared" si="34"/>
        <v>130.72222222222109</v>
      </c>
      <c r="I184" s="872">
        <f t="shared" si="34"/>
        <v>138.76666666666503</v>
      </c>
      <c r="J184" s="872">
        <f t="shared" si="34"/>
        <v>143.79444444444425</v>
      </c>
      <c r="K184" s="872">
        <f t="shared" si="34"/>
        <v>120.66666666666821</v>
      </c>
      <c r="L184" s="872">
        <f t="shared" si="34"/>
        <v>128.71111111111156</v>
      </c>
      <c r="M184" s="872">
        <f t="shared" si="34"/>
        <v>133.73888888889047</v>
      </c>
      <c r="N184" s="872">
        <f t="shared" si="34"/>
        <v>90.5</v>
      </c>
      <c r="O184" s="872">
        <f t="shared" si="34"/>
        <v>98.544444444443201</v>
      </c>
      <c r="P184" s="872">
        <f t="shared" si="34"/>
        <v>103.57222222222211</v>
      </c>
      <c r="Q184" s="872">
        <f t="shared" si="34"/>
        <v>85.472222222221092</v>
      </c>
      <c r="R184" s="872">
        <f t="shared" si="34"/>
        <v>93.516666666665245</v>
      </c>
      <c r="S184" s="872">
        <f t="shared" si="34"/>
        <v>98.544444444443201</v>
      </c>
      <c r="T184" s="872">
        <f t="shared" si="34"/>
        <v>80.444444444443718</v>
      </c>
      <c r="U184" s="872">
        <f t="shared" ref="U184:AE214" si="35">U185-(U$363/360)</f>
        <v>88.488888888889321</v>
      </c>
      <c r="V184" s="872">
        <f t="shared" si="35"/>
        <v>93.516666666665245</v>
      </c>
      <c r="W184" s="872">
        <f t="shared" si="35"/>
        <v>75.416666666666558</v>
      </c>
      <c r="X184" s="872">
        <f t="shared" si="35"/>
        <v>83.461111111111563</v>
      </c>
      <c r="Y184" s="872">
        <f t="shared" si="35"/>
        <v>88.488888888889321</v>
      </c>
      <c r="Z184" s="872">
        <f t="shared" si="35"/>
        <v>70.388888888889454</v>
      </c>
      <c r="AA184" s="872">
        <f t="shared" si="33"/>
        <v>78.433333333332655</v>
      </c>
      <c r="AB184" s="872">
        <f t="shared" si="33"/>
        <v>83.461111111111563</v>
      </c>
      <c r="AC184" s="872">
        <f t="shared" si="33"/>
        <v>65.361111111110546</v>
      </c>
      <c r="AD184" s="872">
        <f t="shared" si="33"/>
        <v>73.405555555555665</v>
      </c>
      <c r="AE184" s="872">
        <f t="shared" si="33"/>
        <v>78.433333333332655</v>
      </c>
      <c r="AF184" s="872">
        <f t="shared" si="32"/>
        <v>60.333333333334103</v>
      </c>
      <c r="AG184" s="872">
        <f t="shared" si="32"/>
        <v>68.377777777777681</v>
      </c>
      <c r="AH184" s="872">
        <f t="shared" si="32"/>
        <v>73.405555555555665</v>
      </c>
      <c r="AI184" s="872">
        <f t="shared" si="32"/>
        <v>55.305555555555273</v>
      </c>
      <c r="AJ184" s="872">
        <f t="shared" si="32"/>
        <v>63.350000000001003</v>
      </c>
      <c r="AK184" s="872">
        <f t="shared" si="32"/>
        <v>68.377777777777681</v>
      </c>
    </row>
    <row r="185" spans="1:37" ht="13.5" thickBot="1">
      <c r="A185" s="868"/>
      <c r="B185" s="868"/>
      <c r="C185" s="868"/>
      <c r="D185" s="873">
        <f t="shared" si="23"/>
        <v>0.50555555555555431</v>
      </c>
      <c r="E185" s="872">
        <f t="shared" si="34"/>
        <v>141.55555555555668</v>
      </c>
      <c r="F185" s="872">
        <f t="shared" si="34"/>
        <v>149.6444444444457</v>
      </c>
      <c r="G185" s="872">
        <f t="shared" si="34"/>
        <v>154.69999999999936</v>
      </c>
      <c r="H185" s="872">
        <f t="shared" si="34"/>
        <v>131.44444444444332</v>
      </c>
      <c r="I185" s="872">
        <f t="shared" si="34"/>
        <v>139.53333333333171</v>
      </c>
      <c r="J185" s="872">
        <f t="shared" si="34"/>
        <v>144.5888888888887</v>
      </c>
      <c r="K185" s="872">
        <f t="shared" si="34"/>
        <v>121.33333333333488</v>
      </c>
      <c r="L185" s="872">
        <f t="shared" si="34"/>
        <v>129.42222222222267</v>
      </c>
      <c r="M185" s="872">
        <f t="shared" si="34"/>
        <v>134.47777777777935</v>
      </c>
      <c r="N185" s="872">
        <f t="shared" si="34"/>
        <v>91</v>
      </c>
      <c r="O185" s="872">
        <f t="shared" si="34"/>
        <v>99.088888888887652</v>
      </c>
      <c r="P185" s="872">
        <f t="shared" si="34"/>
        <v>104.14444444444433</v>
      </c>
      <c r="Q185" s="872">
        <f t="shared" si="34"/>
        <v>85.94444444444332</v>
      </c>
      <c r="R185" s="872">
        <f t="shared" si="34"/>
        <v>94.03333333333191</v>
      </c>
      <c r="S185" s="872">
        <f t="shared" si="34"/>
        <v>99.088888888887652</v>
      </c>
      <c r="T185" s="872">
        <f t="shared" si="34"/>
        <v>80.888888888888161</v>
      </c>
      <c r="U185" s="872">
        <f t="shared" si="35"/>
        <v>88.977777777778215</v>
      </c>
      <c r="V185" s="872">
        <f t="shared" si="35"/>
        <v>94.03333333333191</v>
      </c>
      <c r="W185" s="872">
        <f t="shared" si="35"/>
        <v>75.833333333333229</v>
      </c>
      <c r="X185" s="872">
        <f t="shared" si="35"/>
        <v>83.922222222222672</v>
      </c>
      <c r="Y185" s="872">
        <f t="shared" si="35"/>
        <v>88.977777777778215</v>
      </c>
      <c r="Z185" s="872">
        <f t="shared" si="35"/>
        <v>70.77777777777834</v>
      </c>
      <c r="AA185" s="872">
        <f t="shared" si="33"/>
        <v>78.866666666665992</v>
      </c>
      <c r="AB185" s="872">
        <f t="shared" si="33"/>
        <v>83.922222222222672</v>
      </c>
      <c r="AC185" s="872">
        <f t="shared" si="33"/>
        <v>65.72222222222166</v>
      </c>
      <c r="AD185" s="872">
        <f t="shared" si="33"/>
        <v>73.811111111111217</v>
      </c>
      <c r="AE185" s="872">
        <f t="shared" si="33"/>
        <v>78.866666666665992</v>
      </c>
      <c r="AF185" s="872">
        <f t="shared" si="32"/>
        <v>60.666666666667439</v>
      </c>
      <c r="AG185" s="872">
        <f t="shared" si="32"/>
        <v>68.755555555555461</v>
      </c>
      <c r="AH185" s="872">
        <f t="shared" si="32"/>
        <v>73.811111111111217</v>
      </c>
      <c r="AI185" s="872">
        <f t="shared" si="32"/>
        <v>55.61111111111083</v>
      </c>
      <c r="AJ185" s="872">
        <f t="shared" si="32"/>
        <v>63.700000000001005</v>
      </c>
      <c r="AK185" s="872">
        <f t="shared" si="32"/>
        <v>68.755555555555461</v>
      </c>
    </row>
    <row r="186" spans="1:37" ht="13.5" thickBot="1">
      <c r="A186" s="868"/>
      <c r="B186" s="868"/>
      <c r="C186" s="868"/>
      <c r="D186" s="873">
        <f t="shared" si="23"/>
        <v>0.50833333333333208</v>
      </c>
      <c r="E186" s="872">
        <f t="shared" si="34"/>
        <v>142.33333333333445</v>
      </c>
      <c r="F186" s="872">
        <f t="shared" si="34"/>
        <v>150.46666666666792</v>
      </c>
      <c r="G186" s="872">
        <f t="shared" si="34"/>
        <v>155.54999999999936</v>
      </c>
      <c r="H186" s="872">
        <f t="shared" si="34"/>
        <v>132.16666666666555</v>
      </c>
      <c r="I186" s="872">
        <f t="shared" si="34"/>
        <v>140.29999999999839</v>
      </c>
      <c r="J186" s="872">
        <f t="shared" si="34"/>
        <v>145.38333333333316</v>
      </c>
      <c r="K186" s="872">
        <f t="shared" si="34"/>
        <v>122.00000000000155</v>
      </c>
      <c r="L186" s="872">
        <f t="shared" si="34"/>
        <v>130.13333333333378</v>
      </c>
      <c r="M186" s="872">
        <f t="shared" si="34"/>
        <v>135.21666666666823</v>
      </c>
      <c r="N186" s="872">
        <f t="shared" si="34"/>
        <v>91.5</v>
      </c>
      <c r="O186" s="872">
        <f t="shared" si="34"/>
        <v>99.633333333332104</v>
      </c>
      <c r="P186" s="872">
        <f t="shared" si="34"/>
        <v>104.71666666666655</v>
      </c>
      <c r="Q186" s="872">
        <f t="shared" si="34"/>
        <v>86.416666666665549</v>
      </c>
      <c r="R186" s="872">
        <f t="shared" si="34"/>
        <v>94.549999999998576</v>
      </c>
      <c r="S186" s="872">
        <f t="shared" si="34"/>
        <v>99.633333333332104</v>
      </c>
      <c r="T186" s="872">
        <f t="shared" si="34"/>
        <v>81.333333333332604</v>
      </c>
      <c r="U186" s="872">
        <f t="shared" si="35"/>
        <v>89.466666666667109</v>
      </c>
      <c r="V186" s="872">
        <f t="shared" si="35"/>
        <v>94.549999999998576</v>
      </c>
      <c r="W186" s="872">
        <f t="shared" si="35"/>
        <v>76.249999999999901</v>
      </c>
      <c r="X186" s="872">
        <f t="shared" si="35"/>
        <v>84.383333333333781</v>
      </c>
      <c r="Y186" s="872">
        <f t="shared" si="35"/>
        <v>89.466666666667109</v>
      </c>
      <c r="Z186" s="872">
        <f t="shared" si="35"/>
        <v>71.166666666667226</v>
      </c>
      <c r="AA186" s="872">
        <f t="shared" si="33"/>
        <v>79.299999999999329</v>
      </c>
      <c r="AB186" s="872">
        <f t="shared" si="33"/>
        <v>84.383333333333781</v>
      </c>
      <c r="AC186" s="872">
        <f t="shared" si="33"/>
        <v>66.083333333332774</v>
      </c>
      <c r="AD186" s="872">
        <f t="shared" si="33"/>
        <v>74.216666666666768</v>
      </c>
      <c r="AE186" s="872">
        <f t="shared" si="33"/>
        <v>79.299999999999329</v>
      </c>
      <c r="AF186" s="872">
        <f t="shared" si="32"/>
        <v>61.000000000000774</v>
      </c>
      <c r="AG186" s="872">
        <f t="shared" si="32"/>
        <v>69.13333333333324</v>
      </c>
      <c r="AH186" s="872">
        <f t="shared" si="32"/>
        <v>74.216666666666768</v>
      </c>
      <c r="AI186" s="872">
        <f t="shared" si="32"/>
        <v>55.916666666666387</v>
      </c>
      <c r="AJ186" s="872">
        <f t="shared" si="32"/>
        <v>64.050000000001006</v>
      </c>
      <c r="AK186" s="872">
        <f t="shared" si="32"/>
        <v>69.13333333333324</v>
      </c>
    </row>
    <row r="187" spans="1:37" ht="13.5" thickBot="1">
      <c r="A187" s="868"/>
      <c r="B187" s="868"/>
      <c r="C187" s="868"/>
      <c r="D187" s="873">
        <f t="shared" si="23"/>
        <v>0.51111111111110985</v>
      </c>
      <c r="E187" s="872">
        <f t="shared" si="34"/>
        <v>143.11111111111222</v>
      </c>
      <c r="F187" s="872">
        <f t="shared" si="34"/>
        <v>151.28888888889014</v>
      </c>
      <c r="G187" s="872">
        <f t="shared" si="34"/>
        <v>156.39999999999935</v>
      </c>
      <c r="H187" s="872">
        <f t="shared" si="34"/>
        <v>132.88888888888778</v>
      </c>
      <c r="I187" s="872">
        <f t="shared" si="34"/>
        <v>141.06666666666507</v>
      </c>
      <c r="J187" s="872">
        <f t="shared" si="34"/>
        <v>146.17777777777761</v>
      </c>
      <c r="K187" s="872">
        <f t="shared" si="34"/>
        <v>122.66666666666822</v>
      </c>
      <c r="L187" s="872">
        <f t="shared" si="34"/>
        <v>130.84444444444489</v>
      </c>
      <c r="M187" s="872">
        <f t="shared" si="34"/>
        <v>135.95555555555711</v>
      </c>
      <c r="N187" s="872">
        <f t="shared" si="34"/>
        <v>92</v>
      </c>
      <c r="O187" s="872">
        <f t="shared" si="34"/>
        <v>100.17777777777656</v>
      </c>
      <c r="P187" s="872">
        <f t="shared" si="34"/>
        <v>105.28888888888878</v>
      </c>
      <c r="Q187" s="872">
        <f t="shared" si="34"/>
        <v>86.888888888887777</v>
      </c>
      <c r="R187" s="872">
        <f t="shared" si="34"/>
        <v>95.066666666665242</v>
      </c>
      <c r="S187" s="872">
        <f t="shared" si="34"/>
        <v>100.17777777777656</v>
      </c>
      <c r="T187" s="872">
        <f t="shared" si="34"/>
        <v>81.777777777777047</v>
      </c>
      <c r="U187" s="872">
        <f t="shared" si="35"/>
        <v>89.955555555556003</v>
      </c>
      <c r="V187" s="872">
        <f t="shared" si="35"/>
        <v>95.066666666665242</v>
      </c>
      <c r="W187" s="872">
        <f t="shared" si="35"/>
        <v>76.666666666666572</v>
      </c>
      <c r="X187" s="872">
        <f t="shared" si="35"/>
        <v>84.844444444444889</v>
      </c>
      <c r="Y187" s="872">
        <f t="shared" si="35"/>
        <v>89.955555555556003</v>
      </c>
      <c r="Z187" s="872">
        <f t="shared" si="35"/>
        <v>71.555555555556111</v>
      </c>
      <c r="AA187" s="872">
        <f t="shared" si="33"/>
        <v>79.733333333332666</v>
      </c>
      <c r="AB187" s="872">
        <f t="shared" si="33"/>
        <v>84.844444444444889</v>
      </c>
      <c r="AC187" s="872">
        <f t="shared" si="33"/>
        <v>66.444444444443889</v>
      </c>
      <c r="AD187" s="872">
        <f t="shared" si="33"/>
        <v>74.622222222222319</v>
      </c>
      <c r="AE187" s="872">
        <f t="shared" si="33"/>
        <v>79.733333333332666</v>
      </c>
      <c r="AF187" s="872">
        <f t="shared" si="32"/>
        <v>61.33333333333411</v>
      </c>
      <c r="AG187" s="872">
        <f t="shared" si="32"/>
        <v>69.51111111111102</v>
      </c>
      <c r="AH187" s="872">
        <f t="shared" si="32"/>
        <v>74.622222222222319</v>
      </c>
      <c r="AI187" s="872">
        <f t="shared" si="32"/>
        <v>56.222222222221944</v>
      </c>
      <c r="AJ187" s="872">
        <f t="shared" si="32"/>
        <v>64.400000000001</v>
      </c>
      <c r="AK187" s="872">
        <f t="shared" si="32"/>
        <v>69.51111111111102</v>
      </c>
    </row>
    <row r="188" spans="1:37" ht="13.5" thickBot="1">
      <c r="A188" s="868"/>
      <c r="B188" s="868"/>
      <c r="C188" s="868"/>
      <c r="D188" s="873">
        <f t="shared" si="23"/>
        <v>0.51388888888888762</v>
      </c>
      <c r="E188" s="872">
        <f t="shared" si="34"/>
        <v>143.88888888888999</v>
      </c>
      <c r="F188" s="872">
        <f t="shared" si="34"/>
        <v>152.11111111111236</v>
      </c>
      <c r="G188" s="872">
        <f t="shared" si="34"/>
        <v>157.24999999999935</v>
      </c>
      <c r="H188" s="872">
        <f t="shared" si="34"/>
        <v>133.61111111111001</v>
      </c>
      <c r="I188" s="872">
        <f t="shared" si="34"/>
        <v>141.83333333333175</v>
      </c>
      <c r="J188" s="872">
        <f t="shared" si="34"/>
        <v>146.97222222222206</v>
      </c>
      <c r="K188" s="872">
        <f t="shared" si="34"/>
        <v>123.33333333333489</v>
      </c>
      <c r="L188" s="872">
        <f t="shared" si="34"/>
        <v>131.555555555556</v>
      </c>
      <c r="M188" s="872">
        <f t="shared" si="34"/>
        <v>136.69444444444599</v>
      </c>
      <c r="N188" s="872">
        <f t="shared" si="34"/>
        <v>92.5</v>
      </c>
      <c r="O188" s="872">
        <f t="shared" si="34"/>
        <v>100.72222222222101</v>
      </c>
      <c r="P188" s="872">
        <f t="shared" si="34"/>
        <v>105.861111111111</v>
      </c>
      <c r="Q188" s="872">
        <f t="shared" si="34"/>
        <v>87.361111111110006</v>
      </c>
      <c r="R188" s="872">
        <f t="shared" si="34"/>
        <v>95.583333333331908</v>
      </c>
      <c r="S188" s="872">
        <f t="shared" si="34"/>
        <v>100.72222222222101</v>
      </c>
      <c r="T188" s="872">
        <f t="shared" si="34"/>
        <v>82.22222222222149</v>
      </c>
      <c r="U188" s="872">
        <f t="shared" si="35"/>
        <v>90.444444444444898</v>
      </c>
      <c r="V188" s="872">
        <f t="shared" si="35"/>
        <v>95.583333333331908</v>
      </c>
      <c r="W188" s="872">
        <f t="shared" si="35"/>
        <v>77.083333333333243</v>
      </c>
      <c r="X188" s="872">
        <f t="shared" si="35"/>
        <v>85.305555555555998</v>
      </c>
      <c r="Y188" s="872">
        <f t="shared" si="35"/>
        <v>90.444444444444898</v>
      </c>
      <c r="Z188" s="872">
        <f t="shared" si="35"/>
        <v>71.944444444444997</v>
      </c>
      <c r="AA188" s="872">
        <f t="shared" si="33"/>
        <v>80.166666666666003</v>
      </c>
      <c r="AB188" s="872">
        <f t="shared" si="33"/>
        <v>85.305555555555998</v>
      </c>
      <c r="AC188" s="872">
        <f t="shared" si="33"/>
        <v>66.805555555555003</v>
      </c>
      <c r="AD188" s="872">
        <f t="shared" si="33"/>
        <v>75.027777777777871</v>
      </c>
      <c r="AE188" s="872">
        <f t="shared" si="33"/>
        <v>80.166666666666003</v>
      </c>
      <c r="AF188" s="872">
        <f t="shared" si="32"/>
        <v>61.666666666667446</v>
      </c>
      <c r="AG188" s="872">
        <f t="shared" si="32"/>
        <v>69.8888888888888</v>
      </c>
      <c r="AH188" s="872">
        <f t="shared" si="32"/>
        <v>75.027777777777871</v>
      </c>
      <c r="AI188" s="872">
        <f t="shared" si="32"/>
        <v>56.527777777777501</v>
      </c>
      <c r="AJ188" s="872">
        <f t="shared" si="32"/>
        <v>64.750000000000995</v>
      </c>
      <c r="AK188" s="872">
        <f t="shared" si="32"/>
        <v>69.8888888888888</v>
      </c>
    </row>
    <row r="189" spans="1:37" ht="13.5" thickBot="1">
      <c r="A189" s="868"/>
      <c r="B189" s="868"/>
      <c r="C189" s="868"/>
      <c r="D189" s="873">
        <f t="shared" si="23"/>
        <v>0.51666666666666539</v>
      </c>
      <c r="E189" s="872">
        <f t="shared" si="34"/>
        <v>144.66666666666777</v>
      </c>
      <c r="F189" s="872">
        <f t="shared" si="34"/>
        <v>152.93333333333459</v>
      </c>
      <c r="G189" s="872">
        <f t="shared" si="34"/>
        <v>158.09999999999934</v>
      </c>
      <c r="H189" s="872">
        <f t="shared" si="34"/>
        <v>134.33333333333223</v>
      </c>
      <c r="I189" s="872">
        <f t="shared" si="34"/>
        <v>142.59999999999843</v>
      </c>
      <c r="J189" s="872">
        <f t="shared" si="34"/>
        <v>147.76666666666651</v>
      </c>
      <c r="K189" s="872">
        <f t="shared" si="34"/>
        <v>124.00000000000156</v>
      </c>
      <c r="L189" s="872">
        <f t="shared" si="34"/>
        <v>132.26666666666711</v>
      </c>
      <c r="M189" s="872">
        <f t="shared" si="34"/>
        <v>137.43333333333487</v>
      </c>
      <c r="N189" s="872">
        <f t="shared" si="34"/>
        <v>93</v>
      </c>
      <c r="O189" s="872">
        <f t="shared" si="34"/>
        <v>101.26666666666546</v>
      </c>
      <c r="P189" s="872">
        <f t="shared" si="34"/>
        <v>106.43333333333322</v>
      </c>
      <c r="Q189" s="872">
        <f t="shared" si="34"/>
        <v>87.833333333332234</v>
      </c>
      <c r="R189" s="872">
        <f t="shared" si="34"/>
        <v>96.099999999998573</v>
      </c>
      <c r="S189" s="872">
        <f t="shared" si="34"/>
        <v>101.26666666666546</v>
      </c>
      <c r="T189" s="872">
        <f t="shared" si="34"/>
        <v>82.666666666665932</v>
      </c>
      <c r="U189" s="872">
        <f t="shared" si="35"/>
        <v>90.933333333333792</v>
      </c>
      <c r="V189" s="872">
        <f t="shared" si="35"/>
        <v>96.099999999998573</v>
      </c>
      <c r="W189" s="872">
        <f t="shared" si="35"/>
        <v>77.499999999999915</v>
      </c>
      <c r="X189" s="872">
        <f t="shared" si="35"/>
        <v>85.766666666667106</v>
      </c>
      <c r="Y189" s="872">
        <f t="shared" si="35"/>
        <v>90.933333333333792</v>
      </c>
      <c r="Z189" s="872">
        <f t="shared" si="35"/>
        <v>72.333333333333883</v>
      </c>
      <c r="AA189" s="872">
        <f t="shared" si="33"/>
        <v>80.599999999999341</v>
      </c>
      <c r="AB189" s="872">
        <f t="shared" si="33"/>
        <v>85.766666666667106</v>
      </c>
      <c r="AC189" s="872">
        <f t="shared" si="33"/>
        <v>67.166666666666117</v>
      </c>
      <c r="AD189" s="872">
        <f t="shared" si="33"/>
        <v>75.433333333333422</v>
      </c>
      <c r="AE189" s="872">
        <f t="shared" si="33"/>
        <v>80.599999999999341</v>
      </c>
      <c r="AF189" s="872">
        <f t="shared" si="32"/>
        <v>62.000000000000782</v>
      </c>
      <c r="AG189" s="872">
        <f t="shared" si="32"/>
        <v>70.26666666666658</v>
      </c>
      <c r="AH189" s="872">
        <f t="shared" si="32"/>
        <v>75.433333333333422</v>
      </c>
      <c r="AI189" s="872">
        <f t="shared" si="32"/>
        <v>56.833333333333059</v>
      </c>
      <c r="AJ189" s="872">
        <f t="shared" si="32"/>
        <v>65.100000000000989</v>
      </c>
      <c r="AK189" s="872">
        <f t="shared" si="32"/>
        <v>70.26666666666658</v>
      </c>
    </row>
    <row r="190" spans="1:37" ht="13.5" thickBot="1">
      <c r="A190" s="868"/>
      <c r="B190" s="868"/>
      <c r="C190" s="868"/>
      <c r="D190" s="873">
        <f t="shared" si="23"/>
        <v>0.51944444444444315</v>
      </c>
      <c r="E190" s="872">
        <f t="shared" si="34"/>
        <v>145.44444444444554</v>
      </c>
      <c r="F190" s="872">
        <f t="shared" si="34"/>
        <v>153.75555555555681</v>
      </c>
      <c r="G190" s="872">
        <f t="shared" si="34"/>
        <v>158.94999999999933</v>
      </c>
      <c r="H190" s="872">
        <f t="shared" si="34"/>
        <v>135.05555555555446</v>
      </c>
      <c r="I190" s="872">
        <f t="shared" si="34"/>
        <v>143.36666666666511</v>
      </c>
      <c r="J190" s="872">
        <f t="shared" si="34"/>
        <v>148.56111111111096</v>
      </c>
      <c r="K190" s="872">
        <f t="shared" si="34"/>
        <v>124.66666666666823</v>
      </c>
      <c r="L190" s="872">
        <f t="shared" si="34"/>
        <v>132.97777777777821</v>
      </c>
      <c r="M190" s="872">
        <f t="shared" si="34"/>
        <v>138.17222222222375</v>
      </c>
      <c r="N190" s="872">
        <f t="shared" si="34"/>
        <v>93.5</v>
      </c>
      <c r="O190" s="872">
        <f t="shared" si="34"/>
        <v>101.81111111110991</v>
      </c>
      <c r="P190" s="872">
        <f t="shared" si="34"/>
        <v>107.00555555555545</v>
      </c>
      <c r="Q190" s="872">
        <f t="shared" si="34"/>
        <v>88.305555555554463</v>
      </c>
      <c r="R190" s="872">
        <f t="shared" si="34"/>
        <v>96.616666666665239</v>
      </c>
      <c r="S190" s="872">
        <f t="shared" si="34"/>
        <v>101.81111111110991</v>
      </c>
      <c r="T190" s="872">
        <f t="shared" si="34"/>
        <v>83.111111111110375</v>
      </c>
      <c r="U190" s="872">
        <f t="shared" si="35"/>
        <v>91.422222222222686</v>
      </c>
      <c r="V190" s="872">
        <f t="shared" si="35"/>
        <v>96.616666666665239</v>
      </c>
      <c r="W190" s="872">
        <f t="shared" si="35"/>
        <v>77.916666666666586</v>
      </c>
      <c r="X190" s="872">
        <f t="shared" si="35"/>
        <v>86.227777777778215</v>
      </c>
      <c r="Y190" s="872">
        <f t="shared" si="35"/>
        <v>91.422222222222686</v>
      </c>
      <c r="Z190" s="872">
        <f t="shared" si="35"/>
        <v>72.722222222222769</v>
      </c>
      <c r="AA190" s="872">
        <f t="shared" si="33"/>
        <v>81.033333333332678</v>
      </c>
      <c r="AB190" s="872">
        <f t="shared" si="33"/>
        <v>86.227777777778215</v>
      </c>
      <c r="AC190" s="872">
        <f t="shared" si="33"/>
        <v>67.527777777777231</v>
      </c>
      <c r="AD190" s="872">
        <f t="shared" si="33"/>
        <v>75.838888888888974</v>
      </c>
      <c r="AE190" s="872">
        <f t="shared" si="33"/>
        <v>81.033333333332678</v>
      </c>
      <c r="AF190" s="872">
        <f t="shared" si="32"/>
        <v>62.333333333334117</v>
      </c>
      <c r="AG190" s="872">
        <f t="shared" si="32"/>
        <v>70.64444444444436</v>
      </c>
      <c r="AH190" s="872">
        <f t="shared" si="32"/>
        <v>75.838888888888974</v>
      </c>
      <c r="AI190" s="872">
        <f t="shared" si="32"/>
        <v>57.138888888888616</v>
      </c>
      <c r="AJ190" s="872">
        <f t="shared" si="32"/>
        <v>65.450000000000983</v>
      </c>
      <c r="AK190" s="872">
        <f t="shared" si="32"/>
        <v>70.64444444444436</v>
      </c>
    </row>
    <row r="191" spans="1:37" ht="13.5" thickBot="1">
      <c r="A191" s="868"/>
      <c r="B191" s="868"/>
      <c r="C191" s="868"/>
      <c r="D191" s="873">
        <f t="shared" si="23"/>
        <v>0.52222222222222092</v>
      </c>
      <c r="E191" s="872">
        <f t="shared" si="34"/>
        <v>146.22222222222331</v>
      </c>
      <c r="F191" s="872">
        <f t="shared" si="34"/>
        <v>154.57777777777903</v>
      </c>
      <c r="G191" s="872">
        <f t="shared" si="34"/>
        <v>159.79999999999933</v>
      </c>
      <c r="H191" s="872">
        <f t="shared" si="34"/>
        <v>135.77777777777669</v>
      </c>
      <c r="I191" s="872">
        <f t="shared" si="34"/>
        <v>144.13333333333179</v>
      </c>
      <c r="J191" s="872">
        <f t="shared" si="34"/>
        <v>149.35555555555541</v>
      </c>
      <c r="K191" s="872">
        <f t="shared" si="34"/>
        <v>125.33333333333491</v>
      </c>
      <c r="L191" s="872">
        <f t="shared" si="34"/>
        <v>133.68888888888932</v>
      </c>
      <c r="M191" s="872">
        <f t="shared" si="34"/>
        <v>138.91111111111263</v>
      </c>
      <c r="N191" s="872">
        <f t="shared" si="34"/>
        <v>94</v>
      </c>
      <c r="O191" s="872">
        <f t="shared" si="34"/>
        <v>102.35555555555436</v>
      </c>
      <c r="P191" s="872">
        <f t="shared" si="34"/>
        <v>107.57777777777767</v>
      </c>
      <c r="Q191" s="872">
        <f t="shared" si="34"/>
        <v>88.777777777776691</v>
      </c>
      <c r="R191" s="872">
        <f t="shared" si="34"/>
        <v>97.133333333331905</v>
      </c>
      <c r="S191" s="872">
        <f t="shared" si="34"/>
        <v>102.35555555555436</v>
      </c>
      <c r="T191" s="872">
        <f t="shared" si="34"/>
        <v>83.555555555554818</v>
      </c>
      <c r="U191" s="872">
        <f t="shared" si="35"/>
        <v>91.91111111111158</v>
      </c>
      <c r="V191" s="872">
        <f t="shared" si="35"/>
        <v>97.133333333331905</v>
      </c>
      <c r="W191" s="872">
        <f t="shared" si="35"/>
        <v>78.333333333333258</v>
      </c>
      <c r="X191" s="872">
        <f t="shared" si="35"/>
        <v>86.688888888889323</v>
      </c>
      <c r="Y191" s="872">
        <f t="shared" si="35"/>
        <v>91.91111111111158</v>
      </c>
      <c r="Z191" s="872">
        <f t="shared" si="35"/>
        <v>73.111111111111654</v>
      </c>
      <c r="AA191" s="872">
        <f t="shared" si="33"/>
        <v>81.466666666666015</v>
      </c>
      <c r="AB191" s="872">
        <f t="shared" si="33"/>
        <v>86.688888888889323</v>
      </c>
      <c r="AC191" s="872">
        <f t="shared" si="33"/>
        <v>67.888888888888346</v>
      </c>
      <c r="AD191" s="872">
        <f t="shared" si="33"/>
        <v>76.244444444444525</v>
      </c>
      <c r="AE191" s="872">
        <f t="shared" si="33"/>
        <v>81.466666666666015</v>
      </c>
      <c r="AF191" s="872">
        <f t="shared" si="32"/>
        <v>62.666666666667453</v>
      </c>
      <c r="AG191" s="872">
        <f t="shared" si="32"/>
        <v>71.02222222222214</v>
      </c>
      <c r="AH191" s="872">
        <f t="shared" si="32"/>
        <v>76.244444444444525</v>
      </c>
      <c r="AI191" s="872">
        <f t="shared" si="32"/>
        <v>57.444444444444173</v>
      </c>
      <c r="AJ191" s="872">
        <f t="shared" si="32"/>
        <v>65.800000000000978</v>
      </c>
      <c r="AK191" s="872">
        <f t="shared" si="32"/>
        <v>71.02222222222214</v>
      </c>
    </row>
    <row r="192" spans="1:37" ht="13.5" thickBot="1">
      <c r="A192" s="868"/>
      <c r="B192" s="868"/>
      <c r="C192" s="868"/>
      <c r="D192" s="873">
        <f t="shared" si="23"/>
        <v>0.52499999999999869</v>
      </c>
      <c r="E192" s="872">
        <f t="shared" si="34"/>
        <v>147.00000000000108</v>
      </c>
      <c r="F192" s="872">
        <f t="shared" si="34"/>
        <v>155.40000000000126</v>
      </c>
      <c r="G192" s="872">
        <f t="shared" si="34"/>
        <v>160.64999999999932</v>
      </c>
      <c r="H192" s="872">
        <f t="shared" si="34"/>
        <v>136.49999999999892</v>
      </c>
      <c r="I192" s="872">
        <f t="shared" si="34"/>
        <v>144.89999999999847</v>
      </c>
      <c r="J192" s="872">
        <f t="shared" si="34"/>
        <v>150.14999999999986</v>
      </c>
      <c r="K192" s="872">
        <f t="shared" si="34"/>
        <v>126.00000000000158</v>
      </c>
      <c r="L192" s="872">
        <f t="shared" si="34"/>
        <v>134.40000000000043</v>
      </c>
      <c r="M192" s="872">
        <f t="shared" si="34"/>
        <v>139.65000000000151</v>
      </c>
      <c r="N192" s="872">
        <f t="shared" si="34"/>
        <v>94.5</v>
      </c>
      <c r="O192" s="872">
        <f t="shared" si="34"/>
        <v>102.89999999999881</v>
      </c>
      <c r="P192" s="872">
        <f t="shared" si="34"/>
        <v>108.14999999999989</v>
      </c>
      <c r="Q192" s="872">
        <f t="shared" si="34"/>
        <v>89.24999999999892</v>
      </c>
      <c r="R192" s="872">
        <f t="shared" si="34"/>
        <v>97.64999999999857</v>
      </c>
      <c r="S192" s="872">
        <f t="shared" si="34"/>
        <v>102.89999999999881</v>
      </c>
      <c r="T192" s="872">
        <f t="shared" si="34"/>
        <v>83.999999999999261</v>
      </c>
      <c r="U192" s="872">
        <f t="shared" si="35"/>
        <v>92.400000000000475</v>
      </c>
      <c r="V192" s="872">
        <f t="shared" si="35"/>
        <v>97.64999999999857</v>
      </c>
      <c r="W192" s="872">
        <f t="shared" si="35"/>
        <v>78.749999999999929</v>
      </c>
      <c r="X192" s="872">
        <f t="shared" si="35"/>
        <v>87.150000000000432</v>
      </c>
      <c r="Y192" s="872">
        <f t="shared" si="35"/>
        <v>92.400000000000475</v>
      </c>
      <c r="Z192" s="872">
        <f t="shared" si="35"/>
        <v>73.50000000000054</v>
      </c>
      <c r="AA192" s="872">
        <f t="shared" si="33"/>
        <v>81.899999999999352</v>
      </c>
      <c r="AB192" s="872">
        <f t="shared" si="33"/>
        <v>87.150000000000432</v>
      </c>
      <c r="AC192" s="872">
        <f t="shared" si="33"/>
        <v>68.24999999999946</v>
      </c>
      <c r="AD192" s="872">
        <f t="shared" si="33"/>
        <v>76.650000000000077</v>
      </c>
      <c r="AE192" s="872">
        <f t="shared" si="33"/>
        <v>81.899999999999352</v>
      </c>
      <c r="AF192" s="872">
        <f t="shared" si="32"/>
        <v>63.000000000000789</v>
      </c>
      <c r="AG192" s="872">
        <f t="shared" si="32"/>
        <v>71.39999999999992</v>
      </c>
      <c r="AH192" s="872">
        <f t="shared" si="32"/>
        <v>76.650000000000077</v>
      </c>
      <c r="AI192" s="872">
        <f t="shared" si="32"/>
        <v>57.74999999999973</v>
      </c>
      <c r="AJ192" s="872">
        <f t="shared" si="32"/>
        <v>66.150000000000972</v>
      </c>
      <c r="AK192" s="872">
        <f t="shared" si="32"/>
        <v>71.39999999999992</v>
      </c>
    </row>
    <row r="193" spans="1:37" ht="13.5" thickBot="1">
      <c r="A193" s="868"/>
      <c r="B193" s="868"/>
      <c r="C193" s="868"/>
      <c r="D193" s="873">
        <f t="shared" si="23"/>
        <v>0.52777777777777646</v>
      </c>
      <c r="E193" s="872">
        <f t="shared" si="34"/>
        <v>147.77777777777885</v>
      </c>
      <c r="F193" s="872">
        <f t="shared" si="34"/>
        <v>156.22222222222348</v>
      </c>
      <c r="G193" s="872">
        <f t="shared" si="34"/>
        <v>161.49999999999932</v>
      </c>
      <c r="H193" s="872">
        <f t="shared" si="34"/>
        <v>137.22222222222115</v>
      </c>
      <c r="I193" s="872">
        <f t="shared" si="34"/>
        <v>145.66666666666515</v>
      </c>
      <c r="J193" s="872">
        <f t="shared" si="34"/>
        <v>150.94444444444431</v>
      </c>
      <c r="K193" s="872">
        <f t="shared" si="34"/>
        <v>126.66666666666825</v>
      </c>
      <c r="L193" s="872">
        <f t="shared" si="34"/>
        <v>135.11111111111154</v>
      </c>
      <c r="M193" s="872">
        <f t="shared" si="34"/>
        <v>140.38888888889039</v>
      </c>
      <c r="N193" s="872">
        <f t="shared" si="34"/>
        <v>95</v>
      </c>
      <c r="O193" s="872">
        <f t="shared" si="34"/>
        <v>103.44444444444326</v>
      </c>
      <c r="P193" s="872">
        <f t="shared" si="34"/>
        <v>108.72222222222211</v>
      </c>
      <c r="Q193" s="872">
        <f t="shared" si="34"/>
        <v>89.722222222221149</v>
      </c>
      <c r="R193" s="872">
        <f t="shared" si="34"/>
        <v>98.166666666665236</v>
      </c>
      <c r="S193" s="872">
        <f t="shared" si="34"/>
        <v>103.44444444444326</v>
      </c>
      <c r="T193" s="872">
        <f t="shared" si="34"/>
        <v>84.444444444443704</v>
      </c>
      <c r="U193" s="872">
        <f t="shared" si="35"/>
        <v>92.888888888889369</v>
      </c>
      <c r="V193" s="872">
        <f t="shared" si="35"/>
        <v>98.166666666665236</v>
      </c>
      <c r="W193" s="872">
        <f t="shared" si="35"/>
        <v>79.1666666666666</v>
      </c>
      <c r="X193" s="872">
        <f t="shared" si="35"/>
        <v>87.611111111111541</v>
      </c>
      <c r="Y193" s="872">
        <f t="shared" si="35"/>
        <v>92.888888888889369</v>
      </c>
      <c r="Z193" s="872">
        <f t="shared" si="35"/>
        <v>73.888888888889426</v>
      </c>
      <c r="AA193" s="872">
        <f t="shared" si="33"/>
        <v>82.333333333332689</v>
      </c>
      <c r="AB193" s="872">
        <f t="shared" si="33"/>
        <v>87.611111111111541</v>
      </c>
      <c r="AC193" s="872">
        <f t="shared" si="33"/>
        <v>68.611111111110574</v>
      </c>
      <c r="AD193" s="872">
        <f t="shared" si="33"/>
        <v>77.055555555555628</v>
      </c>
      <c r="AE193" s="872">
        <f t="shared" si="33"/>
        <v>82.333333333332689</v>
      </c>
      <c r="AF193" s="872">
        <f t="shared" si="32"/>
        <v>63.333333333334124</v>
      </c>
      <c r="AG193" s="872">
        <f t="shared" si="32"/>
        <v>71.7777777777777</v>
      </c>
      <c r="AH193" s="872">
        <f t="shared" si="32"/>
        <v>77.055555555555628</v>
      </c>
      <c r="AI193" s="872">
        <f t="shared" si="32"/>
        <v>58.055555555555287</v>
      </c>
      <c r="AJ193" s="872">
        <f t="shared" si="32"/>
        <v>66.500000000000966</v>
      </c>
      <c r="AK193" s="872">
        <f t="shared" si="32"/>
        <v>71.7777777777777</v>
      </c>
    </row>
    <row r="194" spans="1:37" ht="13.5" thickBot="1">
      <c r="A194" s="868"/>
      <c r="B194" s="868"/>
      <c r="C194" s="868"/>
      <c r="D194" s="873">
        <f t="shared" si="23"/>
        <v>0.53055555555555423</v>
      </c>
      <c r="E194" s="872">
        <f t="shared" si="34"/>
        <v>148.55555555555662</v>
      </c>
      <c r="F194" s="872">
        <f t="shared" si="34"/>
        <v>157.0444444444457</v>
      </c>
      <c r="G194" s="872">
        <f t="shared" si="34"/>
        <v>162.34999999999931</v>
      </c>
      <c r="H194" s="872">
        <f t="shared" si="34"/>
        <v>137.94444444444338</v>
      </c>
      <c r="I194" s="872">
        <f t="shared" si="34"/>
        <v>146.43333333333183</v>
      </c>
      <c r="J194" s="872">
        <f t="shared" si="34"/>
        <v>151.73888888888877</v>
      </c>
      <c r="K194" s="872">
        <f t="shared" si="34"/>
        <v>127.33333333333492</v>
      </c>
      <c r="L194" s="872">
        <f t="shared" si="34"/>
        <v>135.82222222222265</v>
      </c>
      <c r="M194" s="872">
        <f t="shared" si="34"/>
        <v>141.12777777777927</v>
      </c>
      <c r="N194" s="872">
        <f t="shared" si="34"/>
        <v>95.5</v>
      </c>
      <c r="O194" s="872">
        <f t="shared" si="34"/>
        <v>103.98888888888771</v>
      </c>
      <c r="P194" s="872">
        <f t="shared" si="34"/>
        <v>109.29444444444434</v>
      </c>
      <c r="Q194" s="872">
        <f t="shared" si="34"/>
        <v>90.194444444443377</v>
      </c>
      <c r="R194" s="872">
        <f t="shared" si="34"/>
        <v>98.683333333331902</v>
      </c>
      <c r="S194" s="872">
        <f t="shared" si="34"/>
        <v>103.98888888888771</v>
      </c>
      <c r="T194" s="872">
        <f t="shared" si="34"/>
        <v>84.888888888888147</v>
      </c>
      <c r="U194" s="872">
        <f t="shared" si="35"/>
        <v>93.377777777778263</v>
      </c>
      <c r="V194" s="872">
        <f t="shared" si="35"/>
        <v>98.683333333331902</v>
      </c>
      <c r="W194" s="872">
        <f t="shared" si="35"/>
        <v>79.583333333333272</v>
      </c>
      <c r="X194" s="872">
        <f t="shared" si="35"/>
        <v>88.072222222222649</v>
      </c>
      <c r="Y194" s="872">
        <f t="shared" si="35"/>
        <v>93.377777777778263</v>
      </c>
      <c r="Z194" s="872">
        <f t="shared" si="35"/>
        <v>74.277777777778311</v>
      </c>
      <c r="AA194" s="872">
        <f t="shared" si="33"/>
        <v>82.766666666666026</v>
      </c>
      <c r="AB194" s="872">
        <f t="shared" si="33"/>
        <v>88.072222222222649</v>
      </c>
      <c r="AC194" s="872">
        <f t="shared" si="33"/>
        <v>68.972222222221689</v>
      </c>
      <c r="AD194" s="872">
        <f t="shared" si="33"/>
        <v>77.46111111111118</v>
      </c>
      <c r="AE194" s="872">
        <f t="shared" si="33"/>
        <v>82.766666666666026</v>
      </c>
      <c r="AF194" s="872">
        <f t="shared" si="32"/>
        <v>63.66666666666746</v>
      </c>
      <c r="AG194" s="872">
        <f t="shared" si="32"/>
        <v>72.15555555555548</v>
      </c>
      <c r="AH194" s="872">
        <f t="shared" si="32"/>
        <v>77.46111111111118</v>
      </c>
      <c r="AI194" s="872">
        <f t="shared" si="32"/>
        <v>58.361111111110844</v>
      </c>
      <c r="AJ194" s="872">
        <f t="shared" si="32"/>
        <v>66.850000000000961</v>
      </c>
      <c r="AK194" s="872">
        <f t="shared" si="32"/>
        <v>72.15555555555548</v>
      </c>
    </row>
    <row r="195" spans="1:37" ht="13.5" thickBot="1">
      <c r="A195" s="868"/>
      <c r="B195" s="868"/>
      <c r="C195" s="868"/>
      <c r="D195" s="873">
        <f t="shared" si="23"/>
        <v>0.53333333333333199</v>
      </c>
      <c r="E195" s="872">
        <f t="shared" si="34"/>
        <v>149.33333333333439</v>
      </c>
      <c r="F195" s="872">
        <f t="shared" si="34"/>
        <v>157.86666666666792</v>
      </c>
      <c r="G195" s="872">
        <f t="shared" si="34"/>
        <v>163.19999999999931</v>
      </c>
      <c r="H195" s="872">
        <f t="shared" si="34"/>
        <v>138.66666666666561</v>
      </c>
      <c r="I195" s="872">
        <f t="shared" si="34"/>
        <v>147.19999999999851</v>
      </c>
      <c r="J195" s="872">
        <f t="shared" si="34"/>
        <v>152.53333333333322</v>
      </c>
      <c r="K195" s="872">
        <f t="shared" si="34"/>
        <v>128.00000000000159</v>
      </c>
      <c r="L195" s="872">
        <f t="shared" si="34"/>
        <v>136.53333333333376</v>
      </c>
      <c r="M195" s="872">
        <f t="shared" si="34"/>
        <v>141.86666666666815</v>
      </c>
      <c r="N195" s="872">
        <f t="shared" si="34"/>
        <v>96</v>
      </c>
      <c r="O195" s="872">
        <f t="shared" si="34"/>
        <v>104.53333333333217</v>
      </c>
      <c r="P195" s="872">
        <f t="shared" si="34"/>
        <v>109.86666666666656</v>
      </c>
      <c r="Q195" s="872">
        <f t="shared" si="34"/>
        <v>90.666666666665606</v>
      </c>
      <c r="R195" s="872">
        <f t="shared" si="34"/>
        <v>99.199999999998568</v>
      </c>
      <c r="S195" s="872">
        <f t="shared" si="34"/>
        <v>104.53333333333217</v>
      </c>
      <c r="T195" s="872">
        <f t="shared" si="34"/>
        <v>85.33333333333259</v>
      </c>
      <c r="U195" s="872">
        <f t="shared" si="35"/>
        <v>93.866666666667157</v>
      </c>
      <c r="V195" s="872">
        <f t="shared" si="35"/>
        <v>99.199999999998568</v>
      </c>
      <c r="W195" s="872">
        <f t="shared" si="35"/>
        <v>79.999999999999943</v>
      </c>
      <c r="X195" s="872">
        <f t="shared" si="35"/>
        <v>88.533333333333758</v>
      </c>
      <c r="Y195" s="872">
        <f t="shared" si="35"/>
        <v>93.866666666667157</v>
      </c>
      <c r="Z195" s="872">
        <f t="shared" si="35"/>
        <v>74.666666666667197</v>
      </c>
      <c r="AA195" s="872">
        <f t="shared" si="33"/>
        <v>83.199999999999363</v>
      </c>
      <c r="AB195" s="872">
        <f t="shared" si="33"/>
        <v>88.533333333333758</v>
      </c>
      <c r="AC195" s="872">
        <f t="shared" si="33"/>
        <v>69.333333333332803</v>
      </c>
      <c r="AD195" s="872">
        <f t="shared" si="33"/>
        <v>77.866666666666731</v>
      </c>
      <c r="AE195" s="872">
        <f t="shared" si="33"/>
        <v>83.199999999999363</v>
      </c>
      <c r="AF195" s="872">
        <f t="shared" si="32"/>
        <v>64.000000000000796</v>
      </c>
      <c r="AG195" s="872">
        <f t="shared" si="32"/>
        <v>72.53333333333326</v>
      </c>
      <c r="AH195" s="872">
        <f t="shared" si="32"/>
        <v>77.866666666666731</v>
      </c>
      <c r="AI195" s="872">
        <f t="shared" si="32"/>
        <v>58.666666666666401</v>
      </c>
      <c r="AJ195" s="872">
        <f t="shared" si="32"/>
        <v>67.200000000000955</v>
      </c>
      <c r="AK195" s="872">
        <f t="shared" si="32"/>
        <v>72.53333333333326</v>
      </c>
    </row>
    <row r="196" spans="1:37" ht="13.5" thickBot="1">
      <c r="A196" s="868"/>
      <c r="B196" s="868"/>
      <c r="C196" s="868"/>
      <c r="D196" s="873">
        <f t="shared" si="23"/>
        <v>0.53611111111110976</v>
      </c>
      <c r="E196" s="872">
        <f t="shared" si="34"/>
        <v>150.11111111111217</v>
      </c>
      <c r="F196" s="872">
        <f t="shared" si="34"/>
        <v>158.68888888889015</v>
      </c>
      <c r="G196" s="872">
        <f t="shared" si="34"/>
        <v>164.0499999999993</v>
      </c>
      <c r="H196" s="872">
        <f t="shared" si="34"/>
        <v>139.38888888888783</v>
      </c>
      <c r="I196" s="872">
        <f t="shared" si="34"/>
        <v>147.96666666666519</v>
      </c>
      <c r="J196" s="872">
        <f t="shared" si="34"/>
        <v>153.32777777777767</v>
      </c>
      <c r="K196" s="872">
        <f t="shared" si="34"/>
        <v>128.66666666666825</v>
      </c>
      <c r="L196" s="872">
        <f t="shared" si="34"/>
        <v>137.24444444444487</v>
      </c>
      <c r="M196" s="872">
        <f t="shared" si="34"/>
        <v>142.60555555555703</v>
      </c>
      <c r="N196" s="872">
        <f t="shared" si="34"/>
        <v>96.5</v>
      </c>
      <c r="O196" s="872">
        <f t="shared" si="34"/>
        <v>105.07777777777662</v>
      </c>
      <c r="P196" s="872">
        <f t="shared" si="34"/>
        <v>110.43888888888878</v>
      </c>
      <c r="Q196" s="872">
        <f t="shared" si="34"/>
        <v>91.138888888887834</v>
      </c>
      <c r="R196" s="872">
        <f t="shared" si="34"/>
        <v>99.716666666665233</v>
      </c>
      <c r="S196" s="872">
        <f t="shared" si="34"/>
        <v>105.07777777777662</v>
      </c>
      <c r="T196" s="872">
        <f t="shared" si="34"/>
        <v>85.777777777777032</v>
      </c>
      <c r="U196" s="872">
        <f t="shared" si="35"/>
        <v>94.355555555556052</v>
      </c>
      <c r="V196" s="872">
        <f t="shared" si="35"/>
        <v>99.716666666665233</v>
      </c>
      <c r="W196" s="872">
        <f t="shared" si="35"/>
        <v>80.416666666666615</v>
      </c>
      <c r="X196" s="872">
        <f t="shared" si="35"/>
        <v>88.994444444444866</v>
      </c>
      <c r="Y196" s="872">
        <f t="shared" si="35"/>
        <v>94.355555555556052</v>
      </c>
      <c r="Z196" s="872">
        <f t="shared" si="35"/>
        <v>75.055555555556083</v>
      </c>
      <c r="AA196" s="872">
        <f t="shared" si="33"/>
        <v>83.6333333333327</v>
      </c>
      <c r="AB196" s="872">
        <f t="shared" si="33"/>
        <v>88.994444444444866</v>
      </c>
      <c r="AC196" s="872">
        <f t="shared" si="33"/>
        <v>69.694444444443917</v>
      </c>
      <c r="AD196" s="872">
        <f t="shared" si="33"/>
        <v>78.272222222222283</v>
      </c>
      <c r="AE196" s="872">
        <f t="shared" si="33"/>
        <v>83.6333333333327</v>
      </c>
      <c r="AF196" s="872">
        <f t="shared" si="32"/>
        <v>64.333333333334124</v>
      </c>
      <c r="AG196" s="872">
        <f t="shared" si="32"/>
        <v>72.91111111111104</v>
      </c>
      <c r="AH196" s="872">
        <f t="shared" si="32"/>
        <v>78.272222222222283</v>
      </c>
      <c r="AI196" s="872">
        <f t="shared" si="32"/>
        <v>58.972222222221959</v>
      </c>
      <c r="AJ196" s="872">
        <f t="shared" si="32"/>
        <v>67.550000000000949</v>
      </c>
      <c r="AK196" s="872">
        <f t="shared" si="32"/>
        <v>72.91111111111104</v>
      </c>
    </row>
    <row r="197" spans="1:37" ht="13.5" thickBot="1">
      <c r="A197" s="868"/>
      <c r="B197" s="868"/>
      <c r="C197" s="868"/>
      <c r="D197" s="873">
        <f t="shared" ref="D197:D260" si="36">D196+0.2/72</f>
        <v>0.53888888888888753</v>
      </c>
      <c r="E197" s="872">
        <f t="shared" si="34"/>
        <v>150.88888888888994</v>
      </c>
      <c r="F197" s="872">
        <f t="shared" si="34"/>
        <v>159.51111111111237</v>
      </c>
      <c r="G197" s="872">
        <f t="shared" si="34"/>
        <v>164.8999999999993</v>
      </c>
      <c r="H197" s="872">
        <f t="shared" si="34"/>
        <v>140.11111111111006</v>
      </c>
      <c r="I197" s="872">
        <f t="shared" si="34"/>
        <v>148.73333333333187</v>
      </c>
      <c r="J197" s="872">
        <f t="shared" si="34"/>
        <v>154.12222222222212</v>
      </c>
      <c r="K197" s="872">
        <f t="shared" si="34"/>
        <v>129.33333333333491</v>
      </c>
      <c r="L197" s="872">
        <f t="shared" si="34"/>
        <v>137.95555555555597</v>
      </c>
      <c r="M197" s="872">
        <f t="shared" si="34"/>
        <v>143.34444444444591</v>
      </c>
      <c r="N197" s="872">
        <f t="shared" si="34"/>
        <v>97</v>
      </c>
      <c r="O197" s="872">
        <f t="shared" si="34"/>
        <v>105.62222222222107</v>
      </c>
      <c r="P197" s="872">
        <f t="shared" si="34"/>
        <v>111.01111111111101</v>
      </c>
      <c r="Q197" s="872">
        <f t="shared" si="34"/>
        <v>91.611111111110063</v>
      </c>
      <c r="R197" s="872">
        <f t="shared" si="34"/>
        <v>100.2333333333319</v>
      </c>
      <c r="S197" s="872">
        <f t="shared" si="34"/>
        <v>105.62222222222107</v>
      </c>
      <c r="T197" s="872">
        <f t="shared" si="34"/>
        <v>86.222222222221475</v>
      </c>
      <c r="U197" s="872">
        <f t="shared" si="35"/>
        <v>94.844444444444946</v>
      </c>
      <c r="V197" s="872">
        <f t="shared" si="35"/>
        <v>100.2333333333319</v>
      </c>
      <c r="W197" s="872">
        <f t="shared" si="35"/>
        <v>80.833333333333286</v>
      </c>
      <c r="X197" s="872">
        <f t="shared" si="35"/>
        <v>89.455555555555975</v>
      </c>
      <c r="Y197" s="872">
        <f t="shared" si="35"/>
        <v>94.844444444444946</v>
      </c>
      <c r="Z197" s="872">
        <f t="shared" si="35"/>
        <v>75.444444444444969</v>
      </c>
      <c r="AA197" s="872">
        <f t="shared" si="33"/>
        <v>84.066666666666038</v>
      </c>
      <c r="AB197" s="872">
        <f t="shared" si="33"/>
        <v>89.455555555555975</v>
      </c>
      <c r="AC197" s="872">
        <f t="shared" si="33"/>
        <v>70.055555555555031</v>
      </c>
      <c r="AD197" s="872">
        <f t="shared" si="33"/>
        <v>78.677777777777834</v>
      </c>
      <c r="AE197" s="872">
        <f t="shared" si="33"/>
        <v>84.066666666666038</v>
      </c>
      <c r="AF197" s="872">
        <f t="shared" si="32"/>
        <v>64.666666666667453</v>
      </c>
      <c r="AG197" s="872">
        <f t="shared" si="32"/>
        <v>73.28888888888882</v>
      </c>
      <c r="AH197" s="872">
        <f t="shared" si="32"/>
        <v>78.677777777777834</v>
      </c>
      <c r="AI197" s="872">
        <f t="shared" si="32"/>
        <v>59.277777777777516</v>
      </c>
      <c r="AJ197" s="872">
        <f t="shared" si="32"/>
        <v>67.900000000000944</v>
      </c>
      <c r="AK197" s="872">
        <f t="shared" si="32"/>
        <v>73.28888888888882</v>
      </c>
    </row>
    <row r="198" spans="1:37" ht="13.5" thickBot="1">
      <c r="A198" s="868"/>
      <c r="B198" s="868"/>
      <c r="C198" s="868"/>
      <c r="D198" s="873">
        <f t="shared" si="36"/>
        <v>0.5416666666666653</v>
      </c>
      <c r="E198" s="872">
        <f t="shared" si="34"/>
        <v>151.66666666666771</v>
      </c>
      <c r="F198" s="872">
        <f t="shared" si="34"/>
        <v>160.33333333333459</v>
      </c>
      <c r="G198" s="872">
        <f t="shared" si="34"/>
        <v>165.74999999999929</v>
      </c>
      <c r="H198" s="872">
        <f t="shared" si="34"/>
        <v>140.83333333333229</v>
      </c>
      <c r="I198" s="872">
        <f t="shared" si="34"/>
        <v>149.49999999999855</v>
      </c>
      <c r="J198" s="872">
        <f t="shared" si="34"/>
        <v>154.91666666666657</v>
      </c>
      <c r="K198" s="872">
        <f t="shared" si="34"/>
        <v>130.00000000000156</v>
      </c>
      <c r="L198" s="872">
        <f t="shared" si="34"/>
        <v>138.66666666666708</v>
      </c>
      <c r="M198" s="872">
        <f t="shared" si="34"/>
        <v>144.08333333333479</v>
      </c>
      <c r="N198" s="872">
        <f t="shared" si="34"/>
        <v>97.5</v>
      </c>
      <c r="O198" s="872">
        <f t="shared" si="34"/>
        <v>106.16666666666552</v>
      </c>
      <c r="P198" s="872">
        <f t="shared" si="34"/>
        <v>111.58333333333323</v>
      </c>
      <c r="Q198" s="872">
        <f t="shared" si="34"/>
        <v>92.083333333332291</v>
      </c>
      <c r="R198" s="872">
        <f t="shared" si="34"/>
        <v>100.74999999999856</v>
      </c>
      <c r="S198" s="872">
        <f t="shared" si="34"/>
        <v>106.16666666666552</v>
      </c>
      <c r="T198" s="872">
        <f t="shared" si="34"/>
        <v>86.666666666665918</v>
      </c>
      <c r="U198" s="872">
        <f t="shared" si="35"/>
        <v>95.33333333333384</v>
      </c>
      <c r="V198" s="872">
        <f t="shared" si="35"/>
        <v>100.74999999999856</v>
      </c>
      <c r="W198" s="872">
        <f t="shared" si="35"/>
        <v>81.249999999999957</v>
      </c>
      <c r="X198" s="872">
        <f t="shared" si="35"/>
        <v>89.916666666667084</v>
      </c>
      <c r="Y198" s="872">
        <f t="shared" si="35"/>
        <v>95.33333333333384</v>
      </c>
      <c r="Z198" s="872">
        <f t="shared" si="35"/>
        <v>75.833333333333854</v>
      </c>
      <c r="AA198" s="872">
        <f t="shared" si="33"/>
        <v>84.499999999999375</v>
      </c>
      <c r="AB198" s="872">
        <f t="shared" si="33"/>
        <v>89.916666666667084</v>
      </c>
      <c r="AC198" s="872">
        <f t="shared" si="33"/>
        <v>70.416666666666146</v>
      </c>
      <c r="AD198" s="872">
        <f t="shared" si="33"/>
        <v>79.083333333333385</v>
      </c>
      <c r="AE198" s="872">
        <f t="shared" si="33"/>
        <v>84.499999999999375</v>
      </c>
      <c r="AF198" s="872">
        <f t="shared" si="32"/>
        <v>65.000000000000782</v>
      </c>
      <c r="AG198" s="872">
        <f t="shared" si="32"/>
        <v>73.6666666666666</v>
      </c>
      <c r="AH198" s="872">
        <f t="shared" si="32"/>
        <v>79.083333333333385</v>
      </c>
      <c r="AI198" s="872">
        <f t="shared" si="32"/>
        <v>59.583333333333073</v>
      </c>
      <c r="AJ198" s="872">
        <f t="shared" si="32"/>
        <v>68.250000000000938</v>
      </c>
      <c r="AK198" s="872">
        <f t="shared" si="32"/>
        <v>73.6666666666666</v>
      </c>
    </row>
    <row r="199" spans="1:37" ht="13.5" thickBot="1">
      <c r="A199" s="868"/>
      <c r="B199" s="868"/>
      <c r="C199" s="868"/>
      <c r="D199" s="873">
        <f t="shared" si="36"/>
        <v>0.54444444444444307</v>
      </c>
      <c r="E199" s="872">
        <f t="shared" si="34"/>
        <v>152.44444444444548</v>
      </c>
      <c r="F199" s="872">
        <f t="shared" si="34"/>
        <v>161.15555555555682</v>
      </c>
      <c r="G199" s="872">
        <f t="shared" si="34"/>
        <v>166.59999999999928</v>
      </c>
      <c r="H199" s="872">
        <f t="shared" si="34"/>
        <v>141.55555555555452</v>
      </c>
      <c r="I199" s="872">
        <f t="shared" si="34"/>
        <v>150.26666666666523</v>
      </c>
      <c r="J199" s="872">
        <f t="shared" si="34"/>
        <v>155.71111111111102</v>
      </c>
      <c r="K199" s="872">
        <f t="shared" si="34"/>
        <v>130.66666666666822</v>
      </c>
      <c r="L199" s="872">
        <f t="shared" si="34"/>
        <v>139.37777777777819</v>
      </c>
      <c r="M199" s="872">
        <f t="shared" si="34"/>
        <v>144.82222222222367</v>
      </c>
      <c r="N199" s="872">
        <f t="shared" si="34"/>
        <v>98</v>
      </c>
      <c r="O199" s="872">
        <f t="shared" si="34"/>
        <v>106.71111111110997</v>
      </c>
      <c r="P199" s="872">
        <f t="shared" si="34"/>
        <v>112.15555555555545</v>
      </c>
      <c r="Q199" s="872">
        <f t="shared" si="34"/>
        <v>92.55555555555452</v>
      </c>
      <c r="R199" s="872">
        <f t="shared" si="34"/>
        <v>101.26666666666523</v>
      </c>
      <c r="S199" s="872">
        <f t="shared" si="34"/>
        <v>106.71111111110997</v>
      </c>
      <c r="T199" s="872">
        <f>T200-(T$363/360)</f>
        <v>87.111111111110361</v>
      </c>
      <c r="U199" s="872">
        <f t="shared" si="35"/>
        <v>95.822222222222734</v>
      </c>
      <c r="V199" s="872">
        <f t="shared" si="35"/>
        <v>101.26666666666523</v>
      </c>
      <c r="W199" s="872">
        <f t="shared" si="35"/>
        <v>81.666666666666629</v>
      </c>
      <c r="X199" s="872">
        <f t="shared" si="35"/>
        <v>90.377777777778192</v>
      </c>
      <c r="Y199" s="872">
        <f t="shared" si="35"/>
        <v>95.822222222222734</v>
      </c>
      <c r="Z199" s="872">
        <f t="shared" si="35"/>
        <v>76.22222222222274</v>
      </c>
      <c r="AA199" s="872">
        <f t="shared" si="33"/>
        <v>84.933333333332712</v>
      </c>
      <c r="AB199" s="872">
        <f t="shared" si="33"/>
        <v>90.377777777778192</v>
      </c>
      <c r="AC199" s="872">
        <f t="shared" si="33"/>
        <v>70.77777777777726</v>
      </c>
      <c r="AD199" s="872">
        <f t="shared" si="33"/>
        <v>79.488888888888937</v>
      </c>
      <c r="AE199" s="872">
        <f t="shared" si="33"/>
        <v>84.933333333332712</v>
      </c>
      <c r="AF199" s="872">
        <f t="shared" si="32"/>
        <v>65.33333333333411</v>
      </c>
      <c r="AG199" s="872">
        <f t="shared" si="32"/>
        <v>74.04444444444438</v>
      </c>
      <c r="AH199" s="872">
        <f t="shared" si="32"/>
        <v>79.488888888888937</v>
      </c>
      <c r="AI199" s="872">
        <f t="shared" si="32"/>
        <v>59.88888888888863</v>
      </c>
      <c r="AJ199" s="872">
        <f t="shared" si="32"/>
        <v>68.600000000000932</v>
      </c>
      <c r="AK199" s="872">
        <f t="shared" si="32"/>
        <v>74.04444444444438</v>
      </c>
    </row>
    <row r="200" spans="1:37" ht="13.5" thickBot="1">
      <c r="A200" s="868"/>
      <c r="B200" s="868"/>
      <c r="C200" s="868"/>
      <c r="D200" s="873">
        <f t="shared" si="36"/>
        <v>0.54722222222222083</v>
      </c>
      <c r="E200" s="872">
        <f t="shared" ref="E200:T215" si="37">E201-(E$363/360)</f>
        <v>153.22222222222325</v>
      </c>
      <c r="F200" s="872">
        <f t="shared" si="37"/>
        <v>161.97777777777904</v>
      </c>
      <c r="G200" s="872">
        <f t="shared" si="37"/>
        <v>167.44999999999928</v>
      </c>
      <c r="H200" s="872">
        <f t="shared" si="37"/>
        <v>142.27777777777675</v>
      </c>
      <c r="I200" s="872">
        <f t="shared" si="37"/>
        <v>151.03333333333191</v>
      </c>
      <c r="J200" s="872">
        <f t="shared" si="37"/>
        <v>156.50555555555547</v>
      </c>
      <c r="K200" s="872">
        <f t="shared" si="37"/>
        <v>131.33333333333488</v>
      </c>
      <c r="L200" s="872">
        <f t="shared" si="37"/>
        <v>140.0888888888893</v>
      </c>
      <c r="M200" s="872">
        <f t="shared" si="37"/>
        <v>145.56111111111255</v>
      </c>
      <c r="N200" s="872">
        <f t="shared" si="37"/>
        <v>98.5</v>
      </c>
      <c r="O200" s="872">
        <f t="shared" si="37"/>
        <v>107.25555555555442</v>
      </c>
      <c r="P200" s="872">
        <f t="shared" si="37"/>
        <v>112.72777777777767</v>
      </c>
      <c r="Q200" s="872">
        <f t="shared" si="37"/>
        <v>93.027777777776748</v>
      </c>
      <c r="R200" s="872">
        <f t="shared" si="37"/>
        <v>101.7833333333319</v>
      </c>
      <c r="S200" s="872">
        <f t="shared" si="37"/>
        <v>107.25555555555442</v>
      </c>
      <c r="T200" s="872">
        <f t="shared" si="37"/>
        <v>87.555555555554804</v>
      </c>
      <c r="U200" s="872">
        <f t="shared" si="35"/>
        <v>96.311111111111629</v>
      </c>
      <c r="V200" s="872">
        <f t="shared" si="35"/>
        <v>101.7833333333319</v>
      </c>
      <c r="W200" s="872">
        <f t="shared" si="35"/>
        <v>82.0833333333333</v>
      </c>
      <c r="X200" s="872">
        <f t="shared" si="35"/>
        <v>90.838888888889301</v>
      </c>
      <c r="Y200" s="872">
        <f t="shared" si="35"/>
        <v>96.311111111111629</v>
      </c>
      <c r="Z200" s="872">
        <f t="shared" si="35"/>
        <v>76.611111111111626</v>
      </c>
      <c r="AA200" s="872">
        <f t="shared" si="35"/>
        <v>85.366666666666049</v>
      </c>
      <c r="AB200" s="872">
        <f t="shared" si="35"/>
        <v>90.838888888889301</v>
      </c>
      <c r="AC200" s="872">
        <f t="shared" si="35"/>
        <v>71.138888888888374</v>
      </c>
      <c r="AD200" s="872">
        <f t="shared" si="35"/>
        <v>79.894444444444488</v>
      </c>
      <c r="AE200" s="872">
        <f t="shared" si="35"/>
        <v>85.366666666666049</v>
      </c>
      <c r="AF200" s="872">
        <f t="shared" si="32"/>
        <v>65.666666666667439</v>
      </c>
      <c r="AG200" s="872">
        <f t="shared" si="32"/>
        <v>74.42222222222216</v>
      </c>
      <c r="AH200" s="872">
        <f t="shared" si="32"/>
        <v>79.894444444444488</v>
      </c>
      <c r="AI200" s="872">
        <f t="shared" si="32"/>
        <v>60.194444444444187</v>
      </c>
      <c r="AJ200" s="872">
        <f t="shared" si="32"/>
        <v>68.950000000000927</v>
      </c>
      <c r="AK200" s="872">
        <f t="shared" si="32"/>
        <v>74.42222222222216</v>
      </c>
    </row>
    <row r="201" spans="1:37" ht="13.5" thickBot="1">
      <c r="A201" s="868"/>
      <c r="B201" s="868"/>
      <c r="C201" s="868"/>
      <c r="D201" s="873">
        <f t="shared" si="36"/>
        <v>0.5499999999999986</v>
      </c>
      <c r="E201" s="872">
        <f t="shared" si="37"/>
        <v>154.00000000000102</v>
      </c>
      <c r="F201" s="872">
        <f t="shared" si="37"/>
        <v>162.80000000000126</v>
      </c>
      <c r="G201" s="872">
        <f t="shared" si="37"/>
        <v>168.29999999999927</v>
      </c>
      <c r="H201" s="872">
        <f t="shared" si="37"/>
        <v>142.99999999999898</v>
      </c>
      <c r="I201" s="872">
        <f t="shared" si="37"/>
        <v>151.79999999999859</v>
      </c>
      <c r="J201" s="872">
        <f t="shared" si="37"/>
        <v>157.29999999999993</v>
      </c>
      <c r="K201" s="872">
        <f t="shared" si="37"/>
        <v>132.00000000000153</v>
      </c>
      <c r="L201" s="872">
        <f t="shared" si="37"/>
        <v>140.80000000000041</v>
      </c>
      <c r="M201" s="872">
        <f t="shared" si="37"/>
        <v>146.30000000000143</v>
      </c>
      <c r="N201" s="872">
        <f t="shared" si="37"/>
        <v>99</v>
      </c>
      <c r="O201" s="872">
        <f t="shared" si="37"/>
        <v>107.79999999999887</v>
      </c>
      <c r="P201" s="872">
        <f t="shared" si="37"/>
        <v>113.2999999999999</v>
      </c>
      <c r="Q201" s="872">
        <f t="shared" si="37"/>
        <v>93.499999999998977</v>
      </c>
      <c r="R201" s="872">
        <f t="shared" si="37"/>
        <v>102.29999999999856</v>
      </c>
      <c r="S201" s="872">
        <f t="shared" si="37"/>
        <v>107.79999999999887</v>
      </c>
      <c r="T201" s="872">
        <f t="shared" si="37"/>
        <v>87.999999999999247</v>
      </c>
      <c r="U201" s="872">
        <f t="shared" si="35"/>
        <v>96.800000000000523</v>
      </c>
      <c r="V201" s="872">
        <f t="shared" si="35"/>
        <v>102.29999999999856</v>
      </c>
      <c r="W201" s="872">
        <f t="shared" si="35"/>
        <v>82.499999999999972</v>
      </c>
      <c r="X201" s="872">
        <f t="shared" si="35"/>
        <v>91.300000000000409</v>
      </c>
      <c r="Y201" s="872">
        <f t="shared" si="35"/>
        <v>96.800000000000523</v>
      </c>
      <c r="Z201" s="872">
        <f t="shared" si="35"/>
        <v>77.000000000000512</v>
      </c>
      <c r="AA201" s="872">
        <f t="shared" si="35"/>
        <v>85.799999999999386</v>
      </c>
      <c r="AB201" s="872">
        <f t="shared" si="35"/>
        <v>91.300000000000409</v>
      </c>
      <c r="AC201" s="872">
        <f t="shared" si="35"/>
        <v>71.499999999999488</v>
      </c>
      <c r="AD201" s="872">
        <f t="shared" si="35"/>
        <v>80.30000000000004</v>
      </c>
      <c r="AE201" s="872">
        <f t="shared" si="35"/>
        <v>85.799999999999386</v>
      </c>
      <c r="AF201" s="872">
        <f t="shared" si="32"/>
        <v>66.000000000000767</v>
      </c>
      <c r="AG201" s="872">
        <f t="shared" si="32"/>
        <v>74.79999999999994</v>
      </c>
      <c r="AH201" s="872">
        <f t="shared" si="32"/>
        <v>80.30000000000004</v>
      </c>
      <c r="AI201" s="872">
        <f t="shared" si="32"/>
        <v>60.499999999999744</v>
      </c>
      <c r="AJ201" s="872">
        <f t="shared" si="32"/>
        <v>69.300000000000921</v>
      </c>
      <c r="AK201" s="872">
        <f t="shared" si="32"/>
        <v>74.79999999999994</v>
      </c>
    </row>
    <row r="202" spans="1:37" ht="13.5" thickBot="1">
      <c r="A202" s="868"/>
      <c r="B202" s="868"/>
      <c r="C202" s="868"/>
      <c r="D202" s="873">
        <f t="shared" si="36"/>
        <v>0.55277777777777637</v>
      </c>
      <c r="E202" s="872">
        <f t="shared" si="37"/>
        <v>154.77777777777879</v>
      </c>
      <c r="F202" s="872">
        <f t="shared" si="37"/>
        <v>163.62222222222348</v>
      </c>
      <c r="G202" s="872">
        <f t="shared" si="37"/>
        <v>169.14999999999927</v>
      </c>
      <c r="H202" s="872">
        <f t="shared" si="37"/>
        <v>143.72222222222121</v>
      </c>
      <c r="I202" s="872">
        <f t="shared" si="37"/>
        <v>152.56666666666527</v>
      </c>
      <c r="J202" s="872">
        <f t="shared" si="37"/>
        <v>158.09444444444438</v>
      </c>
      <c r="K202" s="872">
        <f t="shared" si="37"/>
        <v>132.66666666666819</v>
      </c>
      <c r="L202" s="872">
        <f t="shared" si="37"/>
        <v>141.51111111111152</v>
      </c>
      <c r="M202" s="872">
        <f t="shared" si="37"/>
        <v>147.03888888889031</v>
      </c>
      <c r="N202" s="872">
        <f t="shared" si="37"/>
        <v>99.5</v>
      </c>
      <c r="O202" s="872">
        <f t="shared" si="37"/>
        <v>108.34444444444333</v>
      </c>
      <c r="P202" s="872">
        <f t="shared" si="37"/>
        <v>113.87222222222212</v>
      </c>
      <c r="Q202" s="872">
        <f t="shared" si="37"/>
        <v>93.972222222221205</v>
      </c>
      <c r="R202" s="872">
        <f t="shared" si="37"/>
        <v>102.81666666666523</v>
      </c>
      <c r="S202" s="872">
        <f t="shared" si="37"/>
        <v>108.34444444444333</v>
      </c>
      <c r="T202" s="872">
        <f t="shared" si="37"/>
        <v>88.44444444444369</v>
      </c>
      <c r="U202" s="872">
        <f t="shared" si="35"/>
        <v>97.288888888889417</v>
      </c>
      <c r="V202" s="872">
        <f t="shared" si="35"/>
        <v>102.81666666666523</v>
      </c>
      <c r="W202" s="872">
        <f t="shared" si="35"/>
        <v>82.916666666666643</v>
      </c>
      <c r="X202" s="872">
        <f t="shared" si="35"/>
        <v>91.761111111111518</v>
      </c>
      <c r="Y202" s="872">
        <f t="shared" si="35"/>
        <v>97.288888888889417</v>
      </c>
      <c r="Z202" s="872">
        <f t="shared" si="35"/>
        <v>77.388888888889397</v>
      </c>
      <c r="AA202" s="872">
        <f t="shared" si="35"/>
        <v>86.233333333332723</v>
      </c>
      <c r="AB202" s="872">
        <f t="shared" si="35"/>
        <v>91.761111111111518</v>
      </c>
      <c r="AC202" s="872">
        <f t="shared" si="35"/>
        <v>71.861111111110603</v>
      </c>
      <c r="AD202" s="872">
        <f t="shared" si="35"/>
        <v>80.705555555555591</v>
      </c>
      <c r="AE202" s="872">
        <f t="shared" si="35"/>
        <v>86.233333333332723</v>
      </c>
      <c r="AF202" s="872">
        <f t="shared" si="32"/>
        <v>66.333333333334096</v>
      </c>
      <c r="AG202" s="872">
        <f t="shared" si="32"/>
        <v>75.17777777777772</v>
      </c>
      <c r="AH202" s="872">
        <f t="shared" si="32"/>
        <v>80.705555555555591</v>
      </c>
      <c r="AI202" s="872">
        <f t="shared" si="32"/>
        <v>60.805555555555301</v>
      </c>
      <c r="AJ202" s="872">
        <f t="shared" si="32"/>
        <v>69.650000000000915</v>
      </c>
      <c r="AK202" s="872">
        <f t="shared" si="32"/>
        <v>75.17777777777772</v>
      </c>
    </row>
    <row r="203" spans="1:37" ht="13.5" thickBot="1">
      <c r="A203" s="868"/>
      <c r="B203" s="868"/>
      <c r="C203" s="868"/>
      <c r="D203" s="873">
        <f t="shared" si="36"/>
        <v>0.55555555555555414</v>
      </c>
      <c r="E203" s="872">
        <f t="shared" si="37"/>
        <v>155.55555555555657</v>
      </c>
      <c r="F203" s="872">
        <f t="shared" si="37"/>
        <v>164.44444444444571</v>
      </c>
      <c r="G203" s="872">
        <f t="shared" si="37"/>
        <v>169.99999999999926</v>
      </c>
      <c r="H203" s="872">
        <f t="shared" si="37"/>
        <v>144.44444444444343</v>
      </c>
      <c r="I203" s="872">
        <f t="shared" si="37"/>
        <v>153.33333333333195</v>
      </c>
      <c r="J203" s="872">
        <f t="shared" si="37"/>
        <v>158.88888888888883</v>
      </c>
      <c r="K203" s="872">
        <f t="shared" si="37"/>
        <v>133.33333333333485</v>
      </c>
      <c r="L203" s="872">
        <f t="shared" si="37"/>
        <v>142.22222222222263</v>
      </c>
      <c r="M203" s="872">
        <f t="shared" si="37"/>
        <v>147.77777777777919</v>
      </c>
      <c r="N203" s="872">
        <f t="shared" si="37"/>
        <v>100</v>
      </c>
      <c r="O203" s="872">
        <f t="shared" si="37"/>
        <v>108.88888888888778</v>
      </c>
      <c r="P203" s="872">
        <f t="shared" si="37"/>
        <v>114.44444444444434</v>
      </c>
      <c r="Q203" s="872">
        <f t="shared" si="37"/>
        <v>94.444444444443434</v>
      </c>
      <c r="R203" s="872">
        <f t="shared" si="37"/>
        <v>103.33333333333189</v>
      </c>
      <c r="S203" s="872">
        <f t="shared" si="37"/>
        <v>108.88888888888778</v>
      </c>
      <c r="T203" s="872">
        <f t="shared" si="37"/>
        <v>88.888888888888133</v>
      </c>
      <c r="U203" s="872">
        <f t="shared" si="35"/>
        <v>97.777777777778311</v>
      </c>
      <c r="V203" s="872">
        <f t="shared" si="35"/>
        <v>103.33333333333189</v>
      </c>
      <c r="W203" s="872">
        <f t="shared" si="35"/>
        <v>83.333333333333314</v>
      </c>
      <c r="X203" s="872">
        <f t="shared" si="35"/>
        <v>92.222222222222626</v>
      </c>
      <c r="Y203" s="872">
        <f t="shared" si="35"/>
        <v>97.777777777778311</v>
      </c>
      <c r="Z203" s="872">
        <f t="shared" si="35"/>
        <v>77.777777777778283</v>
      </c>
      <c r="AA203" s="872">
        <f t="shared" si="35"/>
        <v>86.66666666666606</v>
      </c>
      <c r="AB203" s="872">
        <f t="shared" si="35"/>
        <v>92.222222222222626</v>
      </c>
      <c r="AC203" s="872">
        <f t="shared" si="35"/>
        <v>72.222222222221717</v>
      </c>
      <c r="AD203" s="872">
        <f t="shared" si="35"/>
        <v>81.111111111111143</v>
      </c>
      <c r="AE203" s="872">
        <f t="shared" si="35"/>
        <v>86.66666666666606</v>
      </c>
      <c r="AF203" s="872">
        <f t="shared" si="32"/>
        <v>66.666666666667425</v>
      </c>
      <c r="AG203" s="872">
        <f t="shared" si="32"/>
        <v>75.5555555555555</v>
      </c>
      <c r="AH203" s="872">
        <f t="shared" si="32"/>
        <v>81.111111111111143</v>
      </c>
      <c r="AI203" s="872">
        <f t="shared" si="32"/>
        <v>61.111111111110858</v>
      </c>
      <c r="AJ203" s="872">
        <f t="shared" si="32"/>
        <v>70.000000000000909</v>
      </c>
      <c r="AK203" s="872">
        <f t="shared" si="32"/>
        <v>75.5555555555555</v>
      </c>
    </row>
    <row r="204" spans="1:37" ht="13.5" thickBot="1">
      <c r="A204" s="868"/>
      <c r="B204" s="868"/>
      <c r="C204" s="868"/>
      <c r="D204" s="873">
        <f t="shared" si="36"/>
        <v>0.5583333333333319</v>
      </c>
      <c r="E204" s="872">
        <f t="shared" si="37"/>
        <v>156.33333333333434</v>
      </c>
      <c r="F204" s="872">
        <f t="shared" si="37"/>
        <v>165.26666666666793</v>
      </c>
      <c r="G204" s="872">
        <f t="shared" si="37"/>
        <v>170.84999999999926</v>
      </c>
      <c r="H204" s="872">
        <f t="shared" si="37"/>
        <v>145.16666666666566</v>
      </c>
      <c r="I204" s="872">
        <f t="shared" si="37"/>
        <v>154.09999999999863</v>
      </c>
      <c r="J204" s="872">
        <f t="shared" si="37"/>
        <v>159.68333333333328</v>
      </c>
      <c r="K204" s="872">
        <f t="shared" si="37"/>
        <v>134.00000000000151</v>
      </c>
      <c r="L204" s="872">
        <f t="shared" si="37"/>
        <v>142.93333333333374</v>
      </c>
      <c r="M204" s="872">
        <f t="shared" si="37"/>
        <v>148.51666666666807</v>
      </c>
      <c r="N204" s="872">
        <f t="shared" si="37"/>
        <v>100.5</v>
      </c>
      <c r="O204" s="872">
        <f t="shared" si="37"/>
        <v>109.43333333333223</v>
      </c>
      <c r="P204" s="872">
        <f t="shared" si="37"/>
        <v>115.01666666666657</v>
      </c>
      <c r="Q204" s="872">
        <f t="shared" si="37"/>
        <v>94.916666666665662</v>
      </c>
      <c r="R204" s="872">
        <f t="shared" si="37"/>
        <v>103.84999999999856</v>
      </c>
      <c r="S204" s="872">
        <f t="shared" si="37"/>
        <v>109.43333333333223</v>
      </c>
      <c r="T204" s="872">
        <f t="shared" si="37"/>
        <v>89.333333333332575</v>
      </c>
      <c r="U204" s="872">
        <f t="shared" si="35"/>
        <v>98.266666666667206</v>
      </c>
      <c r="V204" s="872">
        <f t="shared" si="35"/>
        <v>103.84999999999856</v>
      </c>
      <c r="W204" s="872">
        <f t="shared" si="35"/>
        <v>83.749999999999986</v>
      </c>
      <c r="X204" s="872">
        <f t="shared" si="35"/>
        <v>92.683333333333735</v>
      </c>
      <c r="Y204" s="872">
        <f t="shared" si="35"/>
        <v>98.266666666667206</v>
      </c>
      <c r="Z204" s="872">
        <f t="shared" si="35"/>
        <v>78.166666666667169</v>
      </c>
      <c r="AA204" s="872">
        <f t="shared" si="35"/>
        <v>87.099999999999397</v>
      </c>
      <c r="AB204" s="872">
        <f t="shared" si="35"/>
        <v>92.683333333333735</v>
      </c>
      <c r="AC204" s="872">
        <f t="shared" si="35"/>
        <v>72.583333333332831</v>
      </c>
      <c r="AD204" s="872">
        <f t="shared" si="35"/>
        <v>81.516666666666694</v>
      </c>
      <c r="AE204" s="872">
        <f t="shared" si="35"/>
        <v>87.099999999999397</v>
      </c>
      <c r="AF204" s="872">
        <f t="shared" si="32"/>
        <v>67.000000000000753</v>
      </c>
      <c r="AG204" s="872">
        <f t="shared" si="32"/>
        <v>75.93333333333328</v>
      </c>
      <c r="AH204" s="872">
        <f t="shared" si="32"/>
        <v>81.516666666666694</v>
      </c>
      <c r="AI204" s="872">
        <f t="shared" si="32"/>
        <v>61.416666666666416</v>
      </c>
      <c r="AJ204" s="872">
        <f t="shared" si="32"/>
        <v>70.350000000000904</v>
      </c>
      <c r="AK204" s="872">
        <f t="shared" si="32"/>
        <v>75.93333333333328</v>
      </c>
    </row>
    <row r="205" spans="1:37" ht="13.5" thickBot="1">
      <c r="A205" s="868"/>
      <c r="B205" s="868"/>
      <c r="C205" s="868"/>
      <c r="D205" s="873">
        <f t="shared" si="36"/>
        <v>0.56111111111110967</v>
      </c>
      <c r="E205" s="872">
        <f t="shared" si="37"/>
        <v>157.11111111111211</v>
      </c>
      <c r="F205" s="872">
        <f t="shared" si="37"/>
        <v>166.08888888889015</v>
      </c>
      <c r="G205" s="872">
        <f t="shared" si="37"/>
        <v>171.69999999999925</v>
      </c>
      <c r="H205" s="872">
        <f t="shared" si="37"/>
        <v>145.88888888888789</v>
      </c>
      <c r="I205" s="872">
        <f t="shared" si="37"/>
        <v>154.86666666666531</v>
      </c>
      <c r="J205" s="872">
        <f t="shared" si="37"/>
        <v>160.47777777777773</v>
      </c>
      <c r="K205" s="872">
        <f t="shared" si="37"/>
        <v>134.66666666666816</v>
      </c>
      <c r="L205" s="872">
        <f t="shared" si="37"/>
        <v>143.64444444444484</v>
      </c>
      <c r="M205" s="872">
        <f t="shared" si="37"/>
        <v>149.25555555555695</v>
      </c>
      <c r="N205" s="872">
        <f t="shared" si="37"/>
        <v>101</v>
      </c>
      <c r="O205" s="872">
        <f t="shared" si="37"/>
        <v>109.97777777777668</v>
      </c>
      <c r="P205" s="872">
        <f t="shared" si="37"/>
        <v>115.58888888888879</v>
      </c>
      <c r="Q205" s="872">
        <f t="shared" si="37"/>
        <v>95.388888888887891</v>
      </c>
      <c r="R205" s="872">
        <f t="shared" si="37"/>
        <v>104.36666666666522</v>
      </c>
      <c r="S205" s="872">
        <f t="shared" si="37"/>
        <v>109.97777777777668</v>
      </c>
      <c r="T205" s="872">
        <f t="shared" si="37"/>
        <v>89.777777777777018</v>
      </c>
      <c r="U205" s="872">
        <f t="shared" si="35"/>
        <v>98.7555555555561</v>
      </c>
      <c r="V205" s="872">
        <f t="shared" si="35"/>
        <v>104.36666666666522</v>
      </c>
      <c r="W205" s="872">
        <f t="shared" si="35"/>
        <v>84.166666666666657</v>
      </c>
      <c r="X205" s="872">
        <f t="shared" si="35"/>
        <v>93.144444444444844</v>
      </c>
      <c r="Y205" s="872">
        <f t="shared" si="35"/>
        <v>98.7555555555561</v>
      </c>
      <c r="Z205" s="872">
        <f t="shared" si="35"/>
        <v>78.555555555556055</v>
      </c>
      <c r="AA205" s="872">
        <f t="shared" si="35"/>
        <v>87.533333333332735</v>
      </c>
      <c r="AB205" s="872">
        <f t="shared" si="35"/>
        <v>93.144444444444844</v>
      </c>
      <c r="AC205" s="872">
        <f t="shared" si="35"/>
        <v>72.944444444443945</v>
      </c>
      <c r="AD205" s="872">
        <f t="shared" si="35"/>
        <v>81.922222222222246</v>
      </c>
      <c r="AE205" s="872">
        <f t="shared" si="35"/>
        <v>87.533333333332735</v>
      </c>
      <c r="AF205" s="872">
        <f t="shared" si="32"/>
        <v>67.333333333334082</v>
      </c>
      <c r="AG205" s="872">
        <f t="shared" si="32"/>
        <v>76.31111111111106</v>
      </c>
      <c r="AH205" s="872">
        <f t="shared" si="32"/>
        <v>81.922222222222246</v>
      </c>
      <c r="AI205" s="872">
        <f t="shared" si="32"/>
        <v>61.722222222221973</v>
      </c>
      <c r="AJ205" s="872">
        <f t="shared" si="32"/>
        <v>70.700000000000898</v>
      </c>
      <c r="AK205" s="872">
        <f t="shared" si="32"/>
        <v>76.31111111111106</v>
      </c>
    </row>
    <row r="206" spans="1:37" ht="13.5" thickBot="1">
      <c r="A206" s="868"/>
      <c r="B206" s="868"/>
      <c r="C206" s="868"/>
      <c r="D206" s="873">
        <f t="shared" si="36"/>
        <v>0.56388888888888744</v>
      </c>
      <c r="E206" s="872">
        <f t="shared" si="37"/>
        <v>157.88888888888988</v>
      </c>
      <c r="F206" s="872">
        <f t="shared" si="37"/>
        <v>166.91111111111238</v>
      </c>
      <c r="G206" s="872">
        <f t="shared" si="37"/>
        <v>172.54999999999924</v>
      </c>
      <c r="H206" s="872">
        <f t="shared" si="37"/>
        <v>146.61111111111012</v>
      </c>
      <c r="I206" s="872">
        <f t="shared" si="37"/>
        <v>155.63333333333199</v>
      </c>
      <c r="J206" s="872">
        <f t="shared" si="37"/>
        <v>161.27222222222218</v>
      </c>
      <c r="K206" s="872">
        <f t="shared" si="37"/>
        <v>135.33333333333482</v>
      </c>
      <c r="L206" s="872">
        <f t="shared" si="37"/>
        <v>144.35555555555595</v>
      </c>
      <c r="M206" s="872">
        <f t="shared" si="37"/>
        <v>149.99444444444583</v>
      </c>
      <c r="N206" s="872">
        <f t="shared" si="37"/>
        <v>101.5</v>
      </c>
      <c r="O206" s="872">
        <f t="shared" si="37"/>
        <v>110.52222222222113</v>
      </c>
      <c r="P206" s="872">
        <f t="shared" si="37"/>
        <v>116.16111111111101</v>
      </c>
      <c r="Q206" s="872">
        <f t="shared" si="37"/>
        <v>95.86111111111012</v>
      </c>
      <c r="R206" s="872">
        <f t="shared" si="37"/>
        <v>104.88333333333189</v>
      </c>
      <c r="S206" s="872">
        <f t="shared" si="37"/>
        <v>110.52222222222113</v>
      </c>
      <c r="T206" s="872">
        <f t="shared" si="37"/>
        <v>90.222222222221461</v>
      </c>
      <c r="U206" s="872">
        <f t="shared" si="35"/>
        <v>99.244444444444994</v>
      </c>
      <c r="V206" s="872">
        <f t="shared" si="35"/>
        <v>104.88333333333189</v>
      </c>
      <c r="W206" s="872">
        <f t="shared" si="35"/>
        <v>84.583333333333329</v>
      </c>
      <c r="X206" s="872">
        <f t="shared" si="35"/>
        <v>93.605555555555952</v>
      </c>
      <c r="Y206" s="872">
        <f t="shared" si="35"/>
        <v>99.244444444444994</v>
      </c>
      <c r="Z206" s="872">
        <f t="shared" si="35"/>
        <v>78.94444444444494</v>
      </c>
      <c r="AA206" s="872">
        <f t="shared" si="35"/>
        <v>87.966666666666072</v>
      </c>
      <c r="AB206" s="872">
        <f t="shared" si="35"/>
        <v>93.605555555555952</v>
      </c>
      <c r="AC206" s="872">
        <f t="shared" si="35"/>
        <v>73.30555555555506</v>
      </c>
      <c r="AD206" s="872">
        <f t="shared" si="35"/>
        <v>82.327777777777797</v>
      </c>
      <c r="AE206" s="872">
        <f t="shared" si="35"/>
        <v>87.966666666666072</v>
      </c>
      <c r="AF206" s="872">
        <f t="shared" si="32"/>
        <v>67.66666666666741</v>
      </c>
      <c r="AG206" s="872">
        <f t="shared" si="32"/>
        <v>76.68888888888884</v>
      </c>
      <c r="AH206" s="872">
        <f t="shared" si="32"/>
        <v>82.327777777777797</v>
      </c>
      <c r="AI206" s="872">
        <f t="shared" si="32"/>
        <v>62.02777777777753</v>
      </c>
      <c r="AJ206" s="872">
        <f t="shared" si="32"/>
        <v>71.050000000000892</v>
      </c>
      <c r="AK206" s="872">
        <f t="shared" si="32"/>
        <v>76.68888888888884</v>
      </c>
    </row>
    <row r="207" spans="1:37" ht="13.5" thickBot="1">
      <c r="A207" s="868"/>
      <c r="B207" s="868"/>
      <c r="C207" s="868"/>
      <c r="D207" s="873">
        <f t="shared" si="36"/>
        <v>0.56666666666666521</v>
      </c>
      <c r="E207" s="872">
        <f t="shared" si="37"/>
        <v>158.66666666666765</v>
      </c>
      <c r="F207" s="872">
        <f t="shared" si="37"/>
        <v>167.7333333333346</v>
      </c>
      <c r="G207" s="872">
        <f t="shared" si="37"/>
        <v>173.39999999999924</v>
      </c>
      <c r="H207" s="872">
        <f t="shared" si="37"/>
        <v>147.33333333333235</v>
      </c>
      <c r="I207" s="872">
        <f t="shared" si="37"/>
        <v>156.39999999999867</v>
      </c>
      <c r="J207" s="872">
        <f t="shared" si="37"/>
        <v>162.06666666666663</v>
      </c>
      <c r="K207" s="872">
        <f t="shared" si="37"/>
        <v>136.00000000000148</v>
      </c>
      <c r="L207" s="872">
        <f t="shared" si="37"/>
        <v>145.06666666666706</v>
      </c>
      <c r="M207" s="872">
        <f t="shared" si="37"/>
        <v>150.73333333333471</v>
      </c>
      <c r="N207" s="872">
        <f t="shared" si="37"/>
        <v>102</v>
      </c>
      <c r="O207" s="872">
        <f t="shared" si="37"/>
        <v>111.06666666666558</v>
      </c>
      <c r="P207" s="872">
        <f t="shared" si="37"/>
        <v>116.73333333333323</v>
      </c>
      <c r="Q207" s="872">
        <f t="shared" si="37"/>
        <v>96.333333333332348</v>
      </c>
      <c r="R207" s="872">
        <f t="shared" si="37"/>
        <v>105.39999999999856</v>
      </c>
      <c r="S207" s="872">
        <f t="shared" si="37"/>
        <v>111.06666666666558</v>
      </c>
      <c r="T207" s="872">
        <f t="shared" si="37"/>
        <v>90.666666666665904</v>
      </c>
      <c r="U207" s="872">
        <f t="shared" si="35"/>
        <v>99.733333333333889</v>
      </c>
      <c r="V207" s="872">
        <f t="shared" si="35"/>
        <v>105.39999999999856</v>
      </c>
      <c r="W207" s="872">
        <f t="shared" si="35"/>
        <v>85</v>
      </c>
      <c r="X207" s="872">
        <f t="shared" si="35"/>
        <v>94.066666666667061</v>
      </c>
      <c r="Y207" s="872">
        <f t="shared" si="35"/>
        <v>99.733333333333889</v>
      </c>
      <c r="Z207" s="872">
        <f t="shared" si="35"/>
        <v>79.333333333333826</v>
      </c>
      <c r="AA207" s="872">
        <f t="shared" si="35"/>
        <v>88.399999999999409</v>
      </c>
      <c r="AB207" s="872">
        <f t="shared" si="35"/>
        <v>94.066666666667061</v>
      </c>
      <c r="AC207" s="872">
        <f t="shared" si="35"/>
        <v>73.666666666666174</v>
      </c>
      <c r="AD207" s="872">
        <f t="shared" si="35"/>
        <v>82.733333333333348</v>
      </c>
      <c r="AE207" s="872">
        <f t="shared" si="35"/>
        <v>88.399999999999409</v>
      </c>
      <c r="AF207" s="872">
        <f t="shared" si="32"/>
        <v>68.000000000000739</v>
      </c>
      <c r="AG207" s="872">
        <f t="shared" si="32"/>
        <v>77.06666666666662</v>
      </c>
      <c r="AH207" s="872">
        <f t="shared" si="32"/>
        <v>82.733333333333348</v>
      </c>
      <c r="AI207" s="872">
        <f t="shared" si="32"/>
        <v>62.333333333333087</v>
      </c>
      <c r="AJ207" s="872">
        <f t="shared" si="32"/>
        <v>71.400000000000887</v>
      </c>
      <c r="AK207" s="872">
        <f t="shared" si="32"/>
        <v>77.06666666666662</v>
      </c>
    </row>
    <row r="208" spans="1:37" ht="13.5" thickBot="1">
      <c r="A208" s="868"/>
      <c r="B208" s="868"/>
      <c r="C208" s="868"/>
      <c r="D208" s="873">
        <f t="shared" si="36"/>
        <v>0.56944444444444298</v>
      </c>
      <c r="E208" s="872">
        <f t="shared" si="37"/>
        <v>159.44444444444542</v>
      </c>
      <c r="F208" s="872">
        <f t="shared" si="37"/>
        <v>168.55555555555682</v>
      </c>
      <c r="G208" s="872">
        <f t="shared" si="37"/>
        <v>174.24999999999923</v>
      </c>
      <c r="H208" s="872">
        <f t="shared" si="37"/>
        <v>148.05555555555458</v>
      </c>
      <c r="I208" s="872">
        <f t="shared" si="37"/>
        <v>157.16666666666535</v>
      </c>
      <c r="J208" s="872">
        <f t="shared" si="37"/>
        <v>162.86111111111109</v>
      </c>
      <c r="K208" s="872">
        <f t="shared" si="37"/>
        <v>136.66666666666814</v>
      </c>
      <c r="L208" s="872">
        <f t="shared" si="37"/>
        <v>145.77777777777817</v>
      </c>
      <c r="M208" s="872">
        <f t="shared" si="37"/>
        <v>151.47222222222359</v>
      </c>
      <c r="N208" s="872">
        <f t="shared" si="37"/>
        <v>102.5</v>
      </c>
      <c r="O208" s="872">
        <f t="shared" si="37"/>
        <v>111.61111111111003</v>
      </c>
      <c r="P208" s="872">
        <f t="shared" si="37"/>
        <v>117.30555555555546</v>
      </c>
      <c r="Q208" s="872">
        <f t="shared" si="37"/>
        <v>96.805555555554577</v>
      </c>
      <c r="R208" s="872">
        <f t="shared" si="37"/>
        <v>105.91666666666522</v>
      </c>
      <c r="S208" s="872">
        <f t="shared" si="37"/>
        <v>111.61111111111003</v>
      </c>
      <c r="T208" s="872">
        <f t="shared" si="37"/>
        <v>91.111111111110347</v>
      </c>
      <c r="U208" s="872">
        <f t="shared" si="35"/>
        <v>100.22222222222278</v>
      </c>
      <c r="V208" s="872">
        <f t="shared" si="35"/>
        <v>105.91666666666522</v>
      </c>
      <c r="W208" s="872">
        <f t="shared" si="35"/>
        <v>85.416666666666671</v>
      </c>
      <c r="X208" s="872">
        <f t="shared" si="35"/>
        <v>94.527777777778169</v>
      </c>
      <c r="Y208" s="872">
        <f t="shared" si="35"/>
        <v>100.22222222222278</v>
      </c>
      <c r="Z208" s="872">
        <f t="shared" si="35"/>
        <v>79.722222222222712</v>
      </c>
      <c r="AA208" s="872">
        <f t="shared" si="35"/>
        <v>88.833333333332746</v>
      </c>
      <c r="AB208" s="872">
        <f t="shared" si="35"/>
        <v>94.527777777778169</v>
      </c>
      <c r="AC208" s="872">
        <f t="shared" si="35"/>
        <v>74.027777777777288</v>
      </c>
      <c r="AD208" s="872">
        <f t="shared" si="35"/>
        <v>83.1388888888889</v>
      </c>
      <c r="AE208" s="872">
        <f t="shared" si="35"/>
        <v>88.833333333332746</v>
      </c>
      <c r="AF208" s="872">
        <f t="shared" si="32"/>
        <v>68.333333333334068</v>
      </c>
      <c r="AG208" s="872">
        <f t="shared" si="32"/>
        <v>77.4444444444444</v>
      </c>
      <c r="AH208" s="872">
        <f t="shared" si="32"/>
        <v>83.1388888888889</v>
      </c>
      <c r="AI208" s="872">
        <f t="shared" si="32"/>
        <v>62.638888888888644</v>
      </c>
      <c r="AJ208" s="872">
        <f t="shared" si="32"/>
        <v>71.750000000000881</v>
      </c>
      <c r="AK208" s="872">
        <f t="shared" si="32"/>
        <v>77.4444444444444</v>
      </c>
    </row>
    <row r="209" spans="1:37" ht="13.5" thickBot="1">
      <c r="A209" s="868"/>
      <c r="B209" s="868"/>
      <c r="C209" s="868"/>
      <c r="D209" s="873">
        <f t="shared" si="36"/>
        <v>0.57222222222222074</v>
      </c>
      <c r="E209" s="872">
        <f t="shared" si="37"/>
        <v>160.22222222222319</v>
      </c>
      <c r="F209" s="872">
        <f t="shared" si="37"/>
        <v>169.37777777777904</v>
      </c>
      <c r="G209" s="872">
        <f t="shared" si="37"/>
        <v>175.09999999999923</v>
      </c>
      <c r="H209" s="872">
        <f t="shared" si="37"/>
        <v>148.77777777777681</v>
      </c>
      <c r="I209" s="872">
        <f t="shared" si="37"/>
        <v>157.93333333333203</v>
      </c>
      <c r="J209" s="872">
        <f t="shared" si="37"/>
        <v>163.65555555555554</v>
      </c>
      <c r="K209" s="872">
        <f t="shared" si="37"/>
        <v>137.33333333333479</v>
      </c>
      <c r="L209" s="872">
        <f t="shared" si="37"/>
        <v>146.48888888888928</v>
      </c>
      <c r="M209" s="872">
        <f t="shared" si="37"/>
        <v>152.21111111111247</v>
      </c>
      <c r="N209" s="872">
        <f t="shared" si="37"/>
        <v>103</v>
      </c>
      <c r="O209" s="872">
        <f t="shared" si="37"/>
        <v>112.15555555555449</v>
      </c>
      <c r="P209" s="872">
        <f t="shared" si="37"/>
        <v>117.87777777777768</v>
      </c>
      <c r="Q209" s="872">
        <f t="shared" si="37"/>
        <v>97.277777777776805</v>
      </c>
      <c r="R209" s="872">
        <f t="shared" si="37"/>
        <v>106.43333333333189</v>
      </c>
      <c r="S209" s="872">
        <f t="shared" si="37"/>
        <v>112.15555555555449</v>
      </c>
      <c r="T209" s="872">
        <f t="shared" si="37"/>
        <v>91.55555555555479</v>
      </c>
      <c r="U209" s="872">
        <f t="shared" si="35"/>
        <v>100.71111111111168</v>
      </c>
      <c r="V209" s="872">
        <f t="shared" si="35"/>
        <v>106.43333333333189</v>
      </c>
      <c r="W209" s="872">
        <f t="shared" si="35"/>
        <v>85.833333333333343</v>
      </c>
      <c r="X209" s="872">
        <f t="shared" si="35"/>
        <v>94.988888888889278</v>
      </c>
      <c r="Y209" s="872">
        <f t="shared" si="35"/>
        <v>100.71111111111168</v>
      </c>
      <c r="Z209" s="872">
        <f t="shared" si="35"/>
        <v>80.111111111111597</v>
      </c>
      <c r="AA209" s="872">
        <f t="shared" si="35"/>
        <v>89.266666666666083</v>
      </c>
      <c r="AB209" s="872">
        <f t="shared" si="35"/>
        <v>94.988888888889278</v>
      </c>
      <c r="AC209" s="872">
        <f t="shared" si="35"/>
        <v>74.388888888888403</v>
      </c>
      <c r="AD209" s="872">
        <f t="shared" si="35"/>
        <v>83.544444444444451</v>
      </c>
      <c r="AE209" s="872">
        <f t="shared" si="35"/>
        <v>89.266666666666083</v>
      </c>
      <c r="AF209" s="872">
        <f t="shared" si="32"/>
        <v>68.666666666667396</v>
      </c>
      <c r="AG209" s="872">
        <f t="shared" si="32"/>
        <v>77.82222222222218</v>
      </c>
      <c r="AH209" s="872">
        <f t="shared" si="32"/>
        <v>83.544444444444451</v>
      </c>
      <c r="AI209" s="872">
        <f t="shared" si="32"/>
        <v>62.944444444444201</v>
      </c>
      <c r="AJ209" s="872">
        <f t="shared" si="32"/>
        <v>72.100000000000875</v>
      </c>
      <c r="AK209" s="872">
        <f t="shared" si="32"/>
        <v>77.82222222222218</v>
      </c>
    </row>
    <row r="210" spans="1:37" ht="13.5" thickBot="1">
      <c r="A210" s="868"/>
      <c r="B210" s="868"/>
      <c r="C210" s="868"/>
      <c r="D210" s="873">
        <f t="shared" si="36"/>
        <v>0.57499999999999851</v>
      </c>
      <c r="E210" s="872">
        <f t="shared" si="37"/>
        <v>161.00000000000097</v>
      </c>
      <c r="F210" s="872">
        <f t="shared" si="37"/>
        <v>170.20000000000127</v>
      </c>
      <c r="G210" s="872">
        <f t="shared" si="37"/>
        <v>175.94999999999922</v>
      </c>
      <c r="H210" s="872">
        <f t="shared" si="37"/>
        <v>149.49999999999903</v>
      </c>
      <c r="I210" s="872">
        <f t="shared" si="37"/>
        <v>158.69999999999871</v>
      </c>
      <c r="J210" s="872">
        <f t="shared" si="37"/>
        <v>164.45</v>
      </c>
      <c r="K210" s="872">
        <f t="shared" si="37"/>
        <v>138.00000000000145</v>
      </c>
      <c r="L210" s="872">
        <f t="shared" si="37"/>
        <v>147.20000000000039</v>
      </c>
      <c r="M210" s="872">
        <f t="shared" si="37"/>
        <v>152.95000000000135</v>
      </c>
      <c r="N210" s="872">
        <f t="shared" si="37"/>
        <v>103.5</v>
      </c>
      <c r="O210" s="872">
        <f t="shared" si="37"/>
        <v>112.69999999999894</v>
      </c>
      <c r="P210" s="872">
        <f t="shared" si="37"/>
        <v>118.4499999999999</v>
      </c>
      <c r="Q210" s="872">
        <f t="shared" si="37"/>
        <v>97.749999999999034</v>
      </c>
      <c r="R210" s="872">
        <f t="shared" si="37"/>
        <v>106.94999999999855</v>
      </c>
      <c r="S210" s="872">
        <f t="shared" si="37"/>
        <v>112.69999999999894</v>
      </c>
      <c r="T210" s="872">
        <f t="shared" si="37"/>
        <v>91.999999999999233</v>
      </c>
      <c r="U210" s="872">
        <f t="shared" si="35"/>
        <v>101.20000000000057</v>
      </c>
      <c r="V210" s="872">
        <f t="shared" si="35"/>
        <v>106.94999999999855</v>
      </c>
      <c r="W210" s="872">
        <f t="shared" si="35"/>
        <v>86.250000000000014</v>
      </c>
      <c r="X210" s="872">
        <f t="shared" si="35"/>
        <v>95.450000000000387</v>
      </c>
      <c r="Y210" s="872">
        <f t="shared" si="35"/>
        <v>101.20000000000057</v>
      </c>
      <c r="Z210" s="872">
        <f t="shared" si="35"/>
        <v>80.500000000000483</v>
      </c>
      <c r="AA210" s="872">
        <f t="shared" si="35"/>
        <v>89.69999999999942</v>
      </c>
      <c r="AB210" s="872">
        <f t="shared" si="35"/>
        <v>95.450000000000387</v>
      </c>
      <c r="AC210" s="872">
        <f t="shared" si="35"/>
        <v>74.749999999999517</v>
      </c>
      <c r="AD210" s="872">
        <f t="shared" si="35"/>
        <v>83.95</v>
      </c>
      <c r="AE210" s="872">
        <f t="shared" si="35"/>
        <v>89.69999999999942</v>
      </c>
      <c r="AF210" s="872">
        <f t="shared" si="32"/>
        <v>69.000000000000725</v>
      </c>
      <c r="AG210" s="872">
        <f t="shared" si="32"/>
        <v>78.19999999999996</v>
      </c>
      <c r="AH210" s="872">
        <f t="shared" si="32"/>
        <v>83.95</v>
      </c>
      <c r="AI210" s="872">
        <f t="shared" si="32"/>
        <v>63.249999999999758</v>
      </c>
      <c r="AJ210" s="872">
        <f t="shared" si="32"/>
        <v>72.45000000000087</v>
      </c>
      <c r="AK210" s="872">
        <f t="shared" si="32"/>
        <v>78.19999999999996</v>
      </c>
    </row>
    <row r="211" spans="1:37" ht="13.5" thickBot="1">
      <c r="A211" s="868"/>
      <c r="B211" s="868"/>
      <c r="C211" s="868"/>
      <c r="D211" s="873">
        <f t="shared" si="36"/>
        <v>0.57777777777777628</v>
      </c>
      <c r="E211" s="872">
        <f t="shared" si="37"/>
        <v>161.77777777777874</v>
      </c>
      <c r="F211" s="872">
        <f t="shared" si="37"/>
        <v>171.02222222222349</v>
      </c>
      <c r="G211" s="872">
        <f t="shared" si="37"/>
        <v>176.79999999999922</v>
      </c>
      <c r="H211" s="872">
        <f t="shared" si="37"/>
        <v>150.22222222222126</v>
      </c>
      <c r="I211" s="872">
        <f t="shared" si="37"/>
        <v>159.46666666666539</v>
      </c>
      <c r="J211" s="872">
        <f t="shared" si="37"/>
        <v>165.24444444444444</v>
      </c>
      <c r="K211" s="872">
        <f t="shared" si="37"/>
        <v>138.66666666666811</v>
      </c>
      <c r="L211" s="872">
        <f t="shared" si="37"/>
        <v>147.9111111111115</v>
      </c>
      <c r="M211" s="872">
        <f t="shared" si="37"/>
        <v>153.68888888889023</v>
      </c>
      <c r="N211" s="872">
        <f t="shared" si="37"/>
        <v>104</v>
      </c>
      <c r="O211" s="872">
        <f t="shared" si="37"/>
        <v>113.24444444444339</v>
      </c>
      <c r="P211" s="872">
        <f t="shared" si="37"/>
        <v>119.02222222222213</v>
      </c>
      <c r="Q211" s="872">
        <f t="shared" si="37"/>
        <v>98.222222222221262</v>
      </c>
      <c r="R211" s="872">
        <f t="shared" si="37"/>
        <v>107.46666666666522</v>
      </c>
      <c r="S211" s="872">
        <f t="shared" si="37"/>
        <v>113.24444444444339</v>
      </c>
      <c r="T211" s="872">
        <f t="shared" si="37"/>
        <v>92.444444444443675</v>
      </c>
      <c r="U211" s="872">
        <f t="shared" si="35"/>
        <v>101.68888888888947</v>
      </c>
      <c r="V211" s="872">
        <f t="shared" si="35"/>
        <v>107.46666666666522</v>
      </c>
      <c r="W211" s="872">
        <f t="shared" si="35"/>
        <v>86.666666666666686</v>
      </c>
      <c r="X211" s="872">
        <f t="shared" si="35"/>
        <v>95.911111111111495</v>
      </c>
      <c r="Y211" s="872">
        <f t="shared" si="35"/>
        <v>101.68888888888947</v>
      </c>
      <c r="Z211" s="872">
        <f t="shared" si="35"/>
        <v>80.888888888889369</v>
      </c>
      <c r="AA211" s="872">
        <f t="shared" si="35"/>
        <v>90.133333333332757</v>
      </c>
      <c r="AB211" s="872">
        <f t="shared" si="35"/>
        <v>95.911111111111495</v>
      </c>
      <c r="AC211" s="872">
        <f t="shared" si="35"/>
        <v>75.111111111110631</v>
      </c>
      <c r="AD211" s="872">
        <f t="shared" si="35"/>
        <v>84.355555555555554</v>
      </c>
      <c r="AE211" s="872">
        <f t="shared" si="35"/>
        <v>90.133333333332757</v>
      </c>
      <c r="AF211" s="872">
        <f t="shared" si="32"/>
        <v>69.333333333334053</v>
      </c>
      <c r="AG211" s="872">
        <f t="shared" si="32"/>
        <v>78.57777777777774</v>
      </c>
      <c r="AH211" s="872">
        <f t="shared" si="32"/>
        <v>84.355555555555554</v>
      </c>
      <c r="AI211" s="872">
        <f t="shared" si="32"/>
        <v>63.555555555555316</v>
      </c>
      <c r="AJ211" s="872">
        <f t="shared" si="32"/>
        <v>72.800000000000864</v>
      </c>
      <c r="AK211" s="872">
        <f t="shared" si="32"/>
        <v>78.57777777777774</v>
      </c>
    </row>
    <row r="212" spans="1:37" ht="13.5" thickBot="1">
      <c r="A212" s="868"/>
      <c r="B212" s="868"/>
      <c r="C212" s="868"/>
      <c r="D212" s="873">
        <f t="shared" si="36"/>
        <v>0.58055555555555405</v>
      </c>
      <c r="E212" s="872">
        <f t="shared" si="37"/>
        <v>162.55555555555651</v>
      </c>
      <c r="F212" s="872">
        <f t="shared" si="37"/>
        <v>171.84444444444571</v>
      </c>
      <c r="G212" s="872">
        <f t="shared" si="37"/>
        <v>177.64999999999921</v>
      </c>
      <c r="H212" s="872">
        <f t="shared" si="37"/>
        <v>150.94444444444349</v>
      </c>
      <c r="I212" s="872">
        <f t="shared" si="37"/>
        <v>160.23333333333207</v>
      </c>
      <c r="J212" s="872">
        <f t="shared" si="37"/>
        <v>166.03888888888889</v>
      </c>
      <c r="K212" s="872">
        <f t="shared" si="37"/>
        <v>139.33333333333476</v>
      </c>
      <c r="L212" s="872">
        <f t="shared" si="37"/>
        <v>148.6222222222226</v>
      </c>
      <c r="M212" s="872">
        <f t="shared" si="37"/>
        <v>154.42777777777911</v>
      </c>
      <c r="N212" s="872">
        <f t="shared" si="37"/>
        <v>104.5</v>
      </c>
      <c r="O212" s="872">
        <f t="shared" si="37"/>
        <v>113.78888888888784</v>
      </c>
      <c r="P212" s="872">
        <f t="shared" si="37"/>
        <v>119.59444444444435</v>
      </c>
      <c r="Q212" s="872">
        <f t="shared" si="37"/>
        <v>98.694444444443491</v>
      </c>
      <c r="R212" s="872">
        <f t="shared" si="37"/>
        <v>107.98333333333188</v>
      </c>
      <c r="S212" s="872">
        <f t="shared" si="37"/>
        <v>113.78888888888784</v>
      </c>
      <c r="T212" s="872">
        <f t="shared" si="37"/>
        <v>92.888888888888118</v>
      </c>
      <c r="U212" s="872">
        <f t="shared" si="35"/>
        <v>102.17777777777836</v>
      </c>
      <c r="V212" s="872">
        <f t="shared" si="35"/>
        <v>107.98333333333188</v>
      </c>
      <c r="W212" s="872">
        <f t="shared" si="35"/>
        <v>87.083333333333357</v>
      </c>
      <c r="X212" s="872">
        <f t="shared" si="35"/>
        <v>96.372222222222604</v>
      </c>
      <c r="Y212" s="872">
        <f t="shared" si="35"/>
        <v>102.17777777777836</v>
      </c>
      <c r="Z212" s="872">
        <f t="shared" si="35"/>
        <v>81.277777777778255</v>
      </c>
      <c r="AA212" s="872">
        <f t="shared" si="35"/>
        <v>90.566666666666094</v>
      </c>
      <c r="AB212" s="872">
        <f t="shared" si="35"/>
        <v>96.372222222222604</v>
      </c>
      <c r="AC212" s="872">
        <f t="shared" si="35"/>
        <v>75.472222222221745</v>
      </c>
      <c r="AD212" s="872">
        <f t="shared" si="35"/>
        <v>84.761111111111106</v>
      </c>
      <c r="AE212" s="872">
        <f t="shared" si="35"/>
        <v>90.566666666666094</v>
      </c>
      <c r="AF212" s="872">
        <f t="shared" si="32"/>
        <v>69.666666666667382</v>
      </c>
      <c r="AG212" s="872">
        <f t="shared" si="32"/>
        <v>78.95555555555552</v>
      </c>
      <c r="AH212" s="872">
        <f t="shared" si="32"/>
        <v>84.761111111111106</v>
      </c>
      <c r="AI212" s="872">
        <f t="shared" si="32"/>
        <v>63.861111111110873</v>
      </c>
      <c r="AJ212" s="872">
        <f t="shared" si="32"/>
        <v>73.150000000000858</v>
      </c>
      <c r="AK212" s="872">
        <f t="shared" si="32"/>
        <v>78.95555555555552</v>
      </c>
    </row>
    <row r="213" spans="1:37" ht="13.5" thickBot="1">
      <c r="A213" s="868"/>
      <c r="B213" s="868"/>
      <c r="C213" s="868"/>
      <c r="D213" s="873">
        <f t="shared" si="36"/>
        <v>0.58333333333333182</v>
      </c>
      <c r="E213" s="872">
        <f t="shared" si="37"/>
        <v>163.33333333333428</v>
      </c>
      <c r="F213" s="872">
        <f t="shared" si="37"/>
        <v>172.66666666666794</v>
      </c>
      <c r="G213" s="872">
        <f t="shared" si="37"/>
        <v>178.4999999999992</v>
      </c>
      <c r="H213" s="872">
        <f t="shared" si="37"/>
        <v>151.66666666666572</v>
      </c>
      <c r="I213" s="872">
        <f t="shared" si="37"/>
        <v>160.99999999999875</v>
      </c>
      <c r="J213" s="872">
        <f t="shared" si="37"/>
        <v>166.83333333333334</v>
      </c>
      <c r="K213" s="872">
        <f t="shared" si="37"/>
        <v>140.00000000000142</v>
      </c>
      <c r="L213" s="872">
        <f t="shared" si="37"/>
        <v>149.33333333333371</v>
      </c>
      <c r="M213" s="872">
        <f t="shared" si="37"/>
        <v>155.16666666666799</v>
      </c>
      <c r="N213" s="872">
        <f t="shared" si="37"/>
        <v>105</v>
      </c>
      <c r="O213" s="872">
        <f t="shared" si="37"/>
        <v>114.33333333333229</v>
      </c>
      <c r="P213" s="872">
        <f t="shared" si="37"/>
        <v>120.16666666666657</v>
      </c>
      <c r="Q213" s="872">
        <f t="shared" si="37"/>
        <v>99.166666666665719</v>
      </c>
      <c r="R213" s="872">
        <f t="shared" si="37"/>
        <v>108.49999999999855</v>
      </c>
      <c r="S213" s="872">
        <f t="shared" si="37"/>
        <v>114.33333333333229</v>
      </c>
      <c r="T213" s="872">
        <f t="shared" si="37"/>
        <v>93.333333333332561</v>
      </c>
      <c r="U213" s="872">
        <f t="shared" si="35"/>
        <v>102.66666666666725</v>
      </c>
      <c r="V213" s="872">
        <f t="shared" si="35"/>
        <v>108.49999999999855</v>
      </c>
      <c r="W213" s="872">
        <f t="shared" si="35"/>
        <v>87.500000000000028</v>
      </c>
      <c r="X213" s="872">
        <f t="shared" si="35"/>
        <v>96.833333333333712</v>
      </c>
      <c r="Y213" s="872">
        <f t="shared" si="35"/>
        <v>102.66666666666725</v>
      </c>
      <c r="Z213" s="872">
        <f t="shared" si="35"/>
        <v>81.66666666666714</v>
      </c>
      <c r="AA213" s="872">
        <f t="shared" si="35"/>
        <v>90.999999999999432</v>
      </c>
      <c r="AB213" s="872">
        <f t="shared" si="35"/>
        <v>96.833333333333712</v>
      </c>
      <c r="AC213" s="872">
        <f t="shared" si="35"/>
        <v>75.83333333333286</v>
      </c>
      <c r="AD213" s="872">
        <f t="shared" si="35"/>
        <v>85.166666666666657</v>
      </c>
      <c r="AE213" s="872">
        <f t="shared" si="35"/>
        <v>90.999999999999432</v>
      </c>
      <c r="AF213" s="872">
        <f t="shared" si="32"/>
        <v>70.000000000000711</v>
      </c>
      <c r="AG213" s="872">
        <f t="shared" si="32"/>
        <v>79.3333333333333</v>
      </c>
      <c r="AH213" s="872">
        <f t="shared" si="32"/>
        <v>85.166666666666657</v>
      </c>
      <c r="AI213" s="872">
        <f t="shared" si="32"/>
        <v>64.16666666666643</v>
      </c>
      <c r="AJ213" s="872">
        <f t="shared" si="32"/>
        <v>73.500000000000853</v>
      </c>
      <c r="AK213" s="872">
        <f t="shared" si="32"/>
        <v>79.3333333333333</v>
      </c>
    </row>
    <row r="214" spans="1:37" ht="13.5" thickBot="1">
      <c r="A214" s="868"/>
      <c r="B214" s="868"/>
      <c r="C214" s="868"/>
      <c r="D214" s="873">
        <f t="shared" si="36"/>
        <v>0.58611111111110958</v>
      </c>
      <c r="E214" s="872">
        <f t="shared" si="37"/>
        <v>164.11111111111205</v>
      </c>
      <c r="F214" s="872">
        <f t="shared" si="37"/>
        <v>173.48888888889016</v>
      </c>
      <c r="G214" s="872">
        <f t="shared" si="37"/>
        <v>179.3499999999992</v>
      </c>
      <c r="H214" s="872">
        <f t="shared" si="37"/>
        <v>152.38888888888795</v>
      </c>
      <c r="I214" s="872">
        <f t="shared" si="37"/>
        <v>161.76666666666543</v>
      </c>
      <c r="J214" s="872">
        <f t="shared" si="37"/>
        <v>167.62777777777779</v>
      </c>
      <c r="K214" s="872">
        <f t="shared" si="37"/>
        <v>140.66666666666808</v>
      </c>
      <c r="L214" s="872">
        <f t="shared" si="37"/>
        <v>150.04444444444482</v>
      </c>
      <c r="M214" s="872">
        <f t="shared" si="37"/>
        <v>155.90555555555687</v>
      </c>
      <c r="N214" s="872">
        <f t="shared" si="37"/>
        <v>105.5</v>
      </c>
      <c r="O214" s="872">
        <f t="shared" si="37"/>
        <v>114.87777777777674</v>
      </c>
      <c r="P214" s="872">
        <f t="shared" si="37"/>
        <v>120.73888888888879</v>
      </c>
      <c r="Q214" s="872">
        <f t="shared" si="37"/>
        <v>99.638888888887948</v>
      </c>
      <c r="R214" s="872">
        <f t="shared" si="37"/>
        <v>109.01666666666522</v>
      </c>
      <c r="S214" s="872">
        <f t="shared" si="37"/>
        <v>114.87777777777674</v>
      </c>
      <c r="T214" s="872">
        <f t="shared" si="37"/>
        <v>93.777777777777004</v>
      </c>
      <c r="U214" s="872">
        <f t="shared" si="35"/>
        <v>103.15555555555615</v>
      </c>
      <c r="V214" s="872">
        <f t="shared" si="35"/>
        <v>109.01666666666522</v>
      </c>
      <c r="W214" s="872">
        <f t="shared" si="35"/>
        <v>87.9166666666667</v>
      </c>
      <c r="X214" s="872">
        <f t="shared" si="35"/>
        <v>97.294444444444821</v>
      </c>
      <c r="Y214" s="872">
        <f t="shared" si="35"/>
        <v>103.15555555555615</v>
      </c>
      <c r="Z214" s="872">
        <f t="shared" ref="Z214:AE214" si="38">Z215-(Z$363/360)</f>
        <v>82.055555555556026</v>
      </c>
      <c r="AA214" s="872">
        <f t="shared" si="38"/>
        <v>91.433333333332769</v>
      </c>
      <c r="AB214" s="872">
        <f t="shared" si="38"/>
        <v>97.294444444444821</v>
      </c>
      <c r="AC214" s="872">
        <f t="shared" si="38"/>
        <v>76.194444444443974</v>
      </c>
      <c r="AD214" s="872">
        <f t="shared" si="38"/>
        <v>85.572222222222209</v>
      </c>
      <c r="AE214" s="872">
        <f t="shared" si="38"/>
        <v>91.433333333332769</v>
      </c>
      <c r="AF214" s="872">
        <f t="shared" si="32"/>
        <v>70.333333333334039</v>
      </c>
      <c r="AG214" s="872">
        <f t="shared" si="32"/>
        <v>79.71111111111108</v>
      </c>
      <c r="AH214" s="872">
        <f t="shared" si="32"/>
        <v>85.572222222222209</v>
      </c>
      <c r="AI214" s="872">
        <f t="shared" si="32"/>
        <v>64.472222222221987</v>
      </c>
      <c r="AJ214" s="872">
        <f t="shared" si="32"/>
        <v>73.850000000000847</v>
      </c>
      <c r="AK214" s="872">
        <f t="shared" si="32"/>
        <v>79.71111111111108</v>
      </c>
    </row>
    <row r="215" spans="1:37" ht="13.5" thickBot="1">
      <c r="A215" s="868"/>
      <c r="B215" s="868"/>
      <c r="C215" s="868"/>
      <c r="D215" s="873">
        <f t="shared" si="36"/>
        <v>0.58888888888888735</v>
      </c>
      <c r="E215" s="872">
        <f t="shared" si="37"/>
        <v>164.88888888888982</v>
      </c>
      <c r="F215" s="872">
        <f t="shared" si="37"/>
        <v>174.31111111111238</v>
      </c>
      <c r="G215" s="872">
        <f t="shared" si="37"/>
        <v>180.19999999999919</v>
      </c>
      <c r="H215" s="872">
        <f t="shared" si="37"/>
        <v>153.11111111111018</v>
      </c>
      <c r="I215" s="872">
        <f t="shared" si="37"/>
        <v>162.53333333333211</v>
      </c>
      <c r="J215" s="872">
        <f t="shared" si="37"/>
        <v>168.42222222222225</v>
      </c>
      <c r="K215" s="872">
        <f t="shared" si="37"/>
        <v>141.33333333333474</v>
      </c>
      <c r="L215" s="872">
        <f t="shared" si="37"/>
        <v>150.75555555555593</v>
      </c>
      <c r="M215" s="872">
        <f t="shared" si="37"/>
        <v>156.64444444444575</v>
      </c>
      <c r="N215" s="872">
        <f t="shared" si="37"/>
        <v>106</v>
      </c>
      <c r="O215" s="872">
        <f t="shared" si="37"/>
        <v>115.42222222222119</v>
      </c>
      <c r="P215" s="872">
        <f t="shared" si="37"/>
        <v>121.31111111111102</v>
      </c>
      <c r="Q215" s="872">
        <f t="shared" si="37"/>
        <v>100.11111111111018</v>
      </c>
      <c r="R215" s="872">
        <f t="shared" si="37"/>
        <v>109.53333333333188</v>
      </c>
      <c r="S215" s="872">
        <f t="shared" si="37"/>
        <v>115.42222222222119</v>
      </c>
      <c r="T215" s="872">
        <f t="shared" ref="T215:AI233" si="39">T216-(T$363/360)</f>
        <v>94.222222222221447</v>
      </c>
      <c r="U215" s="872">
        <f t="shared" si="39"/>
        <v>103.64444444444504</v>
      </c>
      <c r="V215" s="872">
        <f t="shared" si="39"/>
        <v>109.53333333333188</v>
      </c>
      <c r="W215" s="872">
        <f t="shared" si="39"/>
        <v>88.333333333333371</v>
      </c>
      <c r="X215" s="872">
        <f t="shared" si="39"/>
        <v>97.755555555555929</v>
      </c>
      <c r="Y215" s="872">
        <f t="shared" si="39"/>
        <v>103.64444444444504</v>
      </c>
      <c r="Z215" s="872">
        <f t="shared" si="39"/>
        <v>82.444444444444912</v>
      </c>
      <c r="AA215" s="872">
        <f t="shared" si="39"/>
        <v>91.866666666666106</v>
      </c>
      <c r="AB215" s="872">
        <f t="shared" si="39"/>
        <v>97.755555555555929</v>
      </c>
      <c r="AC215" s="872">
        <f t="shared" si="39"/>
        <v>76.555555555555088</v>
      </c>
      <c r="AD215" s="872">
        <f t="shared" si="39"/>
        <v>85.97777777777776</v>
      </c>
      <c r="AE215" s="872">
        <f t="shared" si="39"/>
        <v>91.866666666666106</v>
      </c>
      <c r="AF215" s="872">
        <f t="shared" si="39"/>
        <v>70.666666666667368</v>
      </c>
      <c r="AG215" s="872">
        <f t="shared" si="39"/>
        <v>80.08888888888886</v>
      </c>
      <c r="AH215" s="872">
        <f t="shared" si="32"/>
        <v>85.97777777777776</v>
      </c>
      <c r="AI215" s="872">
        <f t="shared" si="32"/>
        <v>64.777777777777544</v>
      </c>
      <c r="AJ215" s="872">
        <f t="shared" si="32"/>
        <v>74.200000000000841</v>
      </c>
      <c r="AK215" s="872">
        <f t="shared" si="32"/>
        <v>80.08888888888886</v>
      </c>
    </row>
    <row r="216" spans="1:37" ht="13.5" thickBot="1">
      <c r="A216" s="868"/>
      <c r="B216" s="868"/>
      <c r="C216" s="868"/>
      <c r="D216" s="873">
        <f t="shared" si="36"/>
        <v>0.59166666666666512</v>
      </c>
      <c r="E216" s="872">
        <f t="shared" ref="E216:S232" si="40">E217-(E$363/360)</f>
        <v>165.6666666666676</v>
      </c>
      <c r="F216" s="872">
        <f t="shared" si="40"/>
        <v>175.1333333333346</v>
      </c>
      <c r="G216" s="872">
        <f t="shared" si="40"/>
        <v>181.04999999999919</v>
      </c>
      <c r="H216" s="872">
        <f t="shared" si="40"/>
        <v>153.8333333333324</v>
      </c>
      <c r="I216" s="872">
        <f t="shared" si="40"/>
        <v>163.29999999999879</v>
      </c>
      <c r="J216" s="872">
        <f t="shared" si="40"/>
        <v>169.2166666666667</v>
      </c>
      <c r="K216" s="872">
        <f t="shared" si="40"/>
        <v>142.00000000000139</v>
      </c>
      <c r="L216" s="872">
        <f t="shared" si="40"/>
        <v>151.46666666666704</v>
      </c>
      <c r="M216" s="872">
        <f t="shared" si="40"/>
        <v>157.38333333333463</v>
      </c>
      <c r="N216" s="872">
        <f t="shared" si="40"/>
        <v>106.5</v>
      </c>
      <c r="O216" s="872">
        <f t="shared" si="40"/>
        <v>115.96666666666565</v>
      </c>
      <c r="P216" s="872">
        <f t="shared" si="40"/>
        <v>121.88333333333324</v>
      </c>
      <c r="Q216" s="872">
        <f t="shared" si="40"/>
        <v>100.5833333333324</v>
      </c>
      <c r="R216" s="872">
        <f t="shared" si="40"/>
        <v>110.04999999999855</v>
      </c>
      <c r="S216" s="872">
        <f t="shared" si="40"/>
        <v>115.96666666666565</v>
      </c>
      <c r="T216" s="872">
        <f t="shared" si="39"/>
        <v>94.66666666666589</v>
      </c>
      <c r="U216" s="872">
        <f t="shared" si="39"/>
        <v>104.13333333333394</v>
      </c>
      <c r="V216" s="872">
        <f t="shared" si="39"/>
        <v>110.04999999999855</v>
      </c>
      <c r="W216" s="872">
        <f t="shared" si="39"/>
        <v>88.750000000000043</v>
      </c>
      <c r="X216" s="872">
        <f t="shared" si="39"/>
        <v>98.216666666667038</v>
      </c>
      <c r="Y216" s="872">
        <f t="shared" si="39"/>
        <v>104.13333333333394</v>
      </c>
      <c r="Z216" s="872">
        <f t="shared" si="39"/>
        <v>82.833333333333798</v>
      </c>
      <c r="AA216" s="872">
        <f t="shared" si="39"/>
        <v>92.299999999999443</v>
      </c>
      <c r="AB216" s="872">
        <f t="shared" si="39"/>
        <v>98.216666666667038</v>
      </c>
      <c r="AC216" s="872">
        <f t="shared" si="39"/>
        <v>76.916666666666202</v>
      </c>
      <c r="AD216" s="872">
        <f t="shared" si="39"/>
        <v>86.383333333333312</v>
      </c>
      <c r="AE216" s="872">
        <f t="shared" si="39"/>
        <v>92.299999999999443</v>
      </c>
      <c r="AF216" s="872">
        <f t="shared" si="39"/>
        <v>71.000000000000696</v>
      </c>
      <c r="AG216" s="872">
        <f t="shared" si="39"/>
        <v>80.46666666666664</v>
      </c>
      <c r="AH216" s="872">
        <f t="shared" si="32"/>
        <v>86.383333333333312</v>
      </c>
      <c r="AI216" s="872">
        <f t="shared" si="32"/>
        <v>65.083333333333101</v>
      </c>
      <c r="AJ216" s="872">
        <f t="shared" si="32"/>
        <v>74.550000000000836</v>
      </c>
      <c r="AK216" s="872">
        <f t="shared" si="32"/>
        <v>80.46666666666664</v>
      </c>
    </row>
    <row r="217" spans="1:37" ht="13.5" thickBot="1">
      <c r="A217" s="868"/>
      <c r="B217" s="868"/>
      <c r="C217" s="868"/>
      <c r="D217" s="873">
        <f t="shared" si="36"/>
        <v>0.59444444444444289</v>
      </c>
      <c r="E217" s="872">
        <f t="shared" si="40"/>
        <v>166.44444444444537</v>
      </c>
      <c r="F217" s="872">
        <f t="shared" si="40"/>
        <v>175.95555555555683</v>
      </c>
      <c r="G217" s="872">
        <f t="shared" si="40"/>
        <v>181.89999999999918</v>
      </c>
      <c r="H217" s="872">
        <f t="shared" si="40"/>
        <v>154.55555555555463</v>
      </c>
      <c r="I217" s="872">
        <f t="shared" si="40"/>
        <v>164.06666666666547</v>
      </c>
      <c r="J217" s="872">
        <f t="shared" si="40"/>
        <v>170.01111111111115</v>
      </c>
      <c r="K217" s="872">
        <f t="shared" si="40"/>
        <v>142.66666666666805</v>
      </c>
      <c r="L217" s="872">
        <f t="shared" si="40"/>
        <v>152.17777777777815</v>
      </c>
      <c r="M217" s="872">
        <f t="shared" si="40"/>
        <v>158.12222222222351</v>
      </c>
      <c r="N217" s="872">
        <f t="shared" si="40"/>
        <v>107</v>
      </c>
      <c r="O217" s="872">
        <f t="shared" si="40"/>
        <v>116.5111111111101</v>
      </c>
      <c r="P217" s="872">
        <f t="shared" si="40"/>
        <v>122.45555555555546</v>
      </c>
      <c r="Q217" s="872">
        <f t="shared" si="40"/>
        <v>101.05555555555463</v>
      </c>
      <c r="R217" s="872">
        <f t="shared" si="40"/>
        <v>110.56666666666521</v>
      </c>
      <c r="S217" s="872">
        <f t="shared" si="40"/>
        <v>116.5111111111101</v>
      </c>
      <c r="T217" s="872">
        <f t="shared" si="39"/>
        <v>95.111111111110333</v>
      </c>
      <c r="U217" s="872">
        <f t="shared" si="39"/>
        <v>104.62222222222283</v>
      </c>
      <c r="V217" s="872">
        <f t="shared" si="39"/>
        <v>110.56666666666521</v>
      </c>
      <c r="W217" s="872">
        <f t="shared" si="39"/>
        <v>89.166666666666714</v>
      </c>
      <c r="X217" s="872">
        <f t="shared" si="39"/>
        <v>98.677777777778147</v>
      </c>
      <c r="Y217" s="872">
        <f t="shared" si="39"/>
        <v>104.62222222222283</v>
      </c>
      <c r="Z217" s="872">
        <f t="shared" si="39"/>
        <v>83.222222222222683</v>
      </c>
      <c r="AA217" s="872">
        <f t="shared" si="39"/>
        <v>92.73333333333278</v>
      </c>
      <c r="AB217" s="872">
        <f t="shared" si="39"/>
        <v>98.677777777778147</v>
      </c>
      <c r="AC217" s="872">
        <f t="shared" si="39"/>
        <v>77.277777777777317</v>
      </c>
      <c r="AD217" s="872">
        <f t="shared" si="39"/>
        <v>86.788888888888863</v>
      </c>
      <c r="AE217" s="872">
        <f t="shared" si="39"/>
        <v>92.73333333333278</v>
      </c>
      <c r="AF217" s="872">
        <f t="shared" si="39"/>
        <v>71.333333333334025</v>
      </c>
      <c r="AG217" s="872">
        <f t="shared" si="39"/>
        <v>80.84444444444442</v>
      </c>
      <c r="AH217" s="872">
        <f t="shared" si="39"/>
        <v>86.788888888888863</v>
      </c>
      <c r="AI217" s="872">
        <f t="shared" si="39"/>
        <v>65.388888888888658</v>
      </c>
      <c r="AJ217" s="872">
        <f t="shared" ref="AH217:AK237" si="41">AJ218-(AJ$363/360)</f>
        <v>74.90000000000083</v>
      </c>
      <c r="AK217" s="872">
        <f t="shared" si="41"/>
        <v>80.84444444444442</v>
      </c>
    </row>
    <row r="218" spans="1:37" ht="13.5" thickBot="1">
      <c r="A218" s="868"/>
      <c r="B218" s="868"/>
      <c r="C218" s="868"/>
      <c r="D218" s="873">
        <f t="shared" si="36"/>
        <v>0.59722222222222066</v>
      </c>
      <c r="E218" s="872">
        <f t="shared" si="40"/>
        <v>167.22222222222314</v>
      </c>
      <c r="F218" s="872">
        <f t="shared" si="40"/>
        <v>176.77777777777905</v>
      </c>
      <c r="G218" s="872">
        <f t="shared" si="40"/>
        <v>182.74999999999918</v>
      </c>
      <c r="H218" s="872">
        <f t="shared" si="40"/>
        <v>155.27777777777686</v>
      </c>
      <c r="I218" s="872">
        <f t="shared" si="40"/>
        <v>164.83333333333215</v>
      </c>
      <c r="J218" s="872">
        <f t="shared" si="40"/>
        <v>170.8055555555556</v>
      </c>
      <c r="K218" s="872">
        <f t="shared" si="40"/>
        <v>143.33333333333471</v>
      </c>
      <c r="L218" s="872">
        <f t="shared" si="40"/>
        <v>152.88888888888926</v>
      </c>
      <c r="M218" s="872">
        <f t="shared" si="40"/>
        <v>158.86111111111239</v>
      </c>
      <c r="N218" s="872">
        <f t="shared" si="40"/>
        <v>107.5</v>
      </c>
      <c r="O218" s="872">
        <f t="shared" si="40"/>
        <v>117.05555555555455</v>
      </c>
      <c r="P218" s="872">
        <f t="shared" si="40"/>
        <v>123.02777777777769</v>
      </c>
      <c r="Q218" s="872">
        <f t="shared" si="40"/>
        <v>101.52777777777686</v>
      </c>
      <c r="R218" s="872">
        <f t="shared" si="40"/>
        <v>111.08333333333188</v>
      </c>
      <c r="S218" s="872">
        <f t="shared" si="40"/>
        <v>117.05555555555455</v>
      </c>
      <c r="T218" s="872">
        <f t="shared" si="39"/>
        <v>95.555555555554776</v>
      </c>
      <c r="U218" s="872">
        <f t="shared" si="39"/>
        <v>105.11111111111173</v>
      </c>
      <c r="V218" s="872">
        <f t="shared" si="39"/>
        <v>111.08333333333188</v>
      </c>
      <c r="W218" s="872">
        <f t="shared" si="39"/>
        <v>89.583333333333385</v>
      </c>
      <c r="X218" s="872">
        <f t="shared" si="39"/>
        <v>99.138888888889255</v>
      </c>
      <c r="Y218" s="872">
        <f t="shared" si="39"/>
        <v>105.11111111111173</v>
      </c>
      <c r="Z218" s="872">
        <f t="shared" si="39"/>
        <v>83.611111111111569</v>
      </c>
      <c r="AA218" s="872">
        <f t="shared" si="39"/>
        <v>93.166666666666117</v>
      </c>
      <c r="AB218" s="872">
        <f t="shared" si="39"/>
        <v>99.138888888889255</v>
      </c>
      <c r="AC218" s="872">
        <f t="shared" si="39"/>
        <v>77.638888888888431</v>
      </c>
      <c r="AD218" s="872">
        <f t="shared" si="39"/>
        <v>87.194444444444414</v>
      </c>
      <c r="AE218" s="872">
        <f t="shared" si="39"/>
        <v>93.166666666666117</v>
      </c>
      <c r="AF218" s="872">
        <f t="shared" si="39"/>
        <v>71.666666666667354</v>
      </c>
      <c r="AG218" s="872">
        <f t="shared" si="39"/>
        <v>81.2222222222222</v>
      </c>
      <c r="AH218" s="872">
        <f t="shared" si="41"/>
        <v>87.194444444444414</v>
      </c>
      <c r="AI218" s="872">
        <f t="shared" si="41"/>
        <v>65.694444444444215</v>
      </c>
      <c r="AJ218" s="872">
        <f t="shared" si="41"/>
        <v>75.250000000000824</v>
      </c>
      <c r="AK218" s="872">
        <f t="shared" si="41"/>
        <v>81.2222222222222</v>
      </c>
    </row>
    <row r="219" spans="1:37" ht="13.5" thickBot="1">
      <c r="A219" s="868"/>
      <c r="B219" s="868"/>
      <c r="C219" s="868"/>
      <c r="D219" s="873">
        <f t="shared" si="36"/>
        <v>0.59999999999999842</v>
      </c>
      <c r="E219" s="872">
        <f t="shared" si="40"/>
        <v>168.00000000000091</v>
      </c>
      <c r="F219" s="872">
        <f t="shared" si="40"/>
        <v>177.60000000000127</v>
      </c>
      <c r="G219" s="872">
        <f t="shared" si="40"/>
        <v>183.59999999999917</v>
      </c>
      <c r="H219" s="872">
        <f t="shared" si="40"/>
        <v>155.99999999999909</v>
      </c>
      <c r="I219" s="872">
        <f t="shared" si="40"/>
        <v>165.59999999999883</v>
      </c>
      <c r="J219" s="872">
        <f t="shared" si="40"/>
        <v>171.60000000000005</v>
      </c>
      <c r="K219" s="872">
        <f t="shared" si="40"/>
        <v>144.00000000000136</v>
      </c>
      <c r="L219" s="872">
        <f t="shared" si="40"/>
        <v>153.60000000000036</v>
      </c>
      <c r="M219" s="872">
        <f t="shared" si="40"/>
        <v>159.60000000000127</v>
      </c>
      <c r="N219" s="872">
        <f t="shared" si="40"/>
        <v>108</v>
      </c>
      <c r="O219" s="872">
        <f t="shared" si="40"/>
        <v>117.599999999999</v>
      </c>
      <c r="P219" s="872">
        <f t="shared" si="40"/>
        <v>123.59999999999991</v>
      </c>
      <c r="Q219" s="872">
        <f t="shared" si="40"/>
        <v>101.99999999999909</v>
      </c>
      <c r="R219" s="872">
        <f t="shared" si="40"/>
        <v>111.59999999999854</v>
      </c>
      <c r="S219" s="872">
        <f t="shared" si="40"/>
        <v>117.599999999999</v>
      </c>
      <c r="T219" s="872">
        <f t="shared" si="39"/>
        <v>95.999999999999218</v>
      </c>
      <c r="U219" s="872">
        <f t="shared" si="39"/>
        <v>105.60000000000062</v>
      </c>
      <c r="V219" s="872">
        <f t="shared" si="39"/>
        <v>111.59999999999854</v>
      </c>
      <c r="W219" s="872">
        <f t="shared" si="39"/>
        <v>90.000000000000057</v>
      </c>
      <c r="X219" s="872">
        <f t="shared" si="39"/>
        <v>99.600000000000364</v>
      </c>
      <c r="Y219" s="872">
        <f t="shared" si="39"/>
        <v>105.60000000000062</v>
      </c>
      <c r="Z219" s="872">
        <f t="shared" si="39"/>
        <v>84.000000000000455</v>
      </c>
      <c r="AA219" s="872">
        <f t="shared" si="39"/>
        <v>93.599999999999454</v>
      </c>
      <c r="AB219" s="872">
        <f t="shared" si="39"/>
        <v>99.600000000000364</v>
      </c>
      <c r="AC219" s="872">
        <f t="shared" si="39"/>
        <v>77.999999999999545</v>
      </c>
      <c r="AD219" s="872">
        <f t="shared" si="39"/>
        <v>87.599999999999966</v>
      </c>
      <c r="AE219" s="872">
        <f t="shared" si="39"/>
        <v>93.599999999999454</v>
      </c>
      <c r="AF219" s="872">
        <f t="shared" si="39"/>
        <v>72.000000000000682</v>
      </c>
      <c r="AG219" s="872">
        <f t="shared" si="39"/>
        <v>81.59999999999998</v>
      </c>
      <c r="AH219" s="872">
        <f t="shared" si="41"/>
        <v>87.599999999999966</v>
      </c>
      <c r="AI219" s="872">
        <f t="shared" si="41"/>
        <v>65.999999999999773</v>
      </c>
      <c r="AJ219" s="872">
        <f t="shared" si="41"/>
        <v>75.600000000000819</v>
      </c>
      <c r="AK219" s="872">
        <f t="shared" si="41"/>
        <v>81.59999999999998</v>
      </c>
    </row>
    <row r="220" spans="1:37" ht="13.5" thickBot="1">
      <c r="A220" s="868"/>
      <c r="B220" s="868"/>
      <c r="C220" s="868"/>
      <c r="D220" s="873">
        <f t="shared" si="36"/>
        <v>0.60277777777777619</v>
      </c>
      <c r="E220" s="872">
        <f t="shared" si="40"/>
        <v>168.77777777777868</v>
      </c>
      <c r="F220" s="872">
        <f t="shared" si="40"/>
        <v>178.4222222222235</v>
      </c>
      <c r="G220" s="872">
        <f t="shared" si="40"/>
        <v>184.44999999999916</v>
      </c>
      <c r="H220" s="872">
        <f t="shared" si="40"/>
        <v>156.72222222222132</v>
      </c>
      <c r="I220" s="872">
        <f t="shared" si="40"/>
        <v>166.36666666666551</v>
      </c>
      <c r="J220" s="872">
        <f t="shared" si="40"/>
        <v>172.3944444444445</v>
      </c>
      <c r="K220" s="872">
        <f t="shared" si="40"/>
        <v>144.66666666666802</v>
      </c>
      <c r="L220" s="872">
        <f t="shared" si="40"/>
        <v>154.31111111111147</v>
      </c>
      <c r="M220" s="872">
        <f t="shared" si="40"/>
        <v>160.33888888889015</v>
      </c>
      <c r="N220" s="872">
        <f t="shared" si="40"/>
        <v>108.5</v>
      </c>
      <c r="O220" s="872">
        <f t="shared" si="40"/>
        <v>118.14444444444345</v>
      </c>
      <c r="P220" s="872">
        <f t="shared" si="40"/>
        <v>124.17222222222213</v>
      </c>
      <c r="Q220" s="872">
        <f t="shared" si="40"/>
        <v>102.47222222222132</v>
      </c>
      <c r="R220" s="872">
        <f t="shared" si="40"/>
        <v>112.11666666666521</v>
      </c>
      <c r="S220" s="872">
        <f t="shared" si="40"/>
        <v>118.14444444444345</v>
      </c>
      <c r="T220" s="872">
        <f t="shared" si="39"/>
        <v>96.444444444443661</v>
      </c>
      <c r="U220" s="872">
        <f t="shared" si="39"/>
        <v>106.08888888888951</v>
      </c>
      <c r="V220" s="872">
        <f t="shared" si="39"/>
        <v>112.11666666666521</v>
      </c>
      <c r="W220" s="872">
        <f t="shared" si="39"/>
        <v>90.416666666666728</v>
      </c>
      <c r="X220" s="872">
        <f t="shared" si="39"/>
        <v>100.06111111111147</v>
      </c>
      <c r="Y220" s="872">
        <f t="shared" si="39"/>
        <v>106.08888888888951</v>
      </c>
      <c r="Z220" s="872">
        <f t="shared" si="39"/>
        <v>84.38888888888934</v>
      </c>
      <c r="AA220" s="872">
        <f t="shared" si="39"/>
        <v>94.033333333332791</v>
      </c>
      <c r="AB220" s="872">
        <f t="shared" si="39"/>
        <v>100.06111111111147</v>
      </c>
      <c r="AC220" s="872">
        <f t="shared" si="39"/>
        <v>78.36111111111066</v>
      </c>
      <c r="AD220" s="872">
        <f t="shared" si="39"/>
        <v>88.005555555555517</v>
      </c>
      <c r="AE220" s="872">
        <f t="shared" si="39"/>
        <v>94.033333333332791</v>
      </c>
      <c r="AF220" s="872">
        <f t="shared" si="39"/>
        <v>72.333333333334011</v>
      </c>
      <c r="AG220" s="872">
        <f t="shared" si="39"/>
        <v>81.97777777777776</v>
      </c>
      <c r="AH220" s="872">
        <f t="shared" si="41"/>
        <v>88.005555555555517</v>
      </c>
      <c r="AI220" s="872">
        <f t="shared" si="41"/>
        <v>66.30555555555533</v>
      </c>
      <c r="AJ220" s="872">
        <f t="shared" si="41"/>
        <v>75.950000000000813</v>
      </c>
      <c r="AK220" s="872">
        <f t="shared" si="41"/>
        <v>81.97777777777776</v>
      </c>
    </row>
    <row r="221" spans="1:37" ht="13.5" thickBot="1">
      <c r="A221" s="868"/>
      <c r="B221" s="868"/>
      <c r="C221" s="868"/>
      <c r="D221" s="873">
        <f t="shared" si="36"/>
        <v>0.60555555555555396</v>
      </c>
      <c r="E221" s="872">
        <f t="shared" si="40"/>
        <v>169.55555555555645</v>
      </c>
      <c r="F221" s="872">
        <f t="shared" si="40"/>
        <v>179.24444444444572</v>
      </c>
      <c r="G221" s="872">
        <f t="shared" si="40"/>
        <v>185.29999999999916</v>
      </c>
      <c r="H221" s="872">
        <f t="shared" si="40"/>
        <v>157.44444444444355</v>
      </c>
      <c r="I221" s="872">
        <f t="shared" si="40"/>
        <v>167.13333333333219</v>
      </c>
      <c r="J221" s="872">
        <f t="shared" si="40"/>
        <v>173.18888888888895</v>
      </c>
      <c r="K221" s="872">
        <f t="shared" si="40"/>
        <v>145.33333333333468</v>
      </c>
      <c r="L221" s="872">
        <f t="shared" si="40"/>
        <v>155.02222222222258</v>
      </c>
      <c r="M221" s="872">
        <f t="shared" si="40"/>
        <v>161.07777777777903</v>
      </c>
      <c r="N221" s="872">
        <f t="shared" si="40"/>
        <v>109</v>
      </c>
      <c r="O221" s="872">
        <f t="shared" si="40"/>
        <v>118.6888888888879</v>
      </c>
      <c r="P221" s="872">
        <f t="shared" si="40"/>
        <v>124.74444444444435</v>
      </c>
      <c r="Q221" s="872">
        <f t="shared" si="40"/>
        <v>102.94444444444355</v>
      </c>
      <c r="R221" s="872">
        <f t="shared" si="40"/>
        <v>112.63333333333188</v>
      </c>
      <c r="S221" s="872">
        <f t="shared" si="40"/>
        <v>118.6888888888879</v>
      </c>
      <c r="T221" s="872">
        <f t="shared" si="39"/>
        <v>96.888888888888104</v>
      </c>
      <c r="U221" s="872">
        <f t="shared" si="39"/>
        <v>106.57777777777841</v>
      </c>
      <c r="V221" s="872">
        <f t="shared" si="39"/>
        <v>112.63333333333188</v>
      </c>
      <c r="W221" s="872">
        <f t="shared" si="39"/>
        <v>90.8333333333334</v>
      </c>
      <c r="X221" s="872">
        <f t="shared" si="39"/>
        <v>100.52222222222258</v>
      </c>
      <c r="Y221" s="872">
        <f t="shared" si="39"/>
        <v>106.57777777777841</v>
      </c>
      <c r="Z221" s="872">
        <f t="shared" si="39"/>
        <v>84.777777777778226</v>
      </c>
      <c r="AA221" s="872">
        <f t="shared" si="39"/>
        <v>94.466666666666129</v>
      </c>
      <c r="AB221" s="872">
        <f t="shared" si="39"/>
        <v>100.52222222222258</v>
      </c>
      <c r="AC221" s="872">
        <f t="shared" si="39"/>
        <v>78.722222222221774</v>
      </c>
      <c r="AD221" s="872">
        <f t="shared" si="39"/>
        <v>88.411111111111069</v>
      </c>
      <c r="AE221" s="872">
        <f t="shared" si="39"/>
        <v>94.466666666666129</v>
      </c>
      <c r="AF221" s="872">
        <f t="shared" si="39"/>
        <v>72.666666666667339</v>
      </c>
      <c r="AG221" s="872">
        <f t="shared" si="39"/>
        <v>82.35555555555554</v>
      </c>
      <c r="AH221" s="872">
        <f t="shared" si="41"/>
        <v>88.411111111111069</v>
      </c>
      <c r="AI221" s="872">
        <f t="shared" si="41"/>
        <v>66.611111111110887</v>
      </c>
      <c r="AJ221" s="872">
        <f t="shared" si="41"/>
        <v>76.300000000000807</v>
      </c>
      <c r="AK221" s="872">
        <f t="shared" si="41"/>
        <v>82.35555555555554</v>
      </c>
    </row>
    <row r="222" spans="1:37" ht="13.5" thickBot="1">
      <c r="A222" s="868"/>
      <c r="B222" s="868"/>
      <c r="C222" s="868"/>
      <c r="D222" s="873">
        <f t="shared" si="36"/>
        <v>0.60833333333333173</v>
      </c>
      <c r="E222" s="872">
        <f t="shared" si="40"/>
        <v>170.33333333333422</v>
      </c>
      <c r="F222" s="872">
        <f t="shared" si="40"/>
        <v>180.06666666666794</v>
      </c>
      <c r="G222" s="872">
        <f t="shared" si="40"/>
        <v>186.14999999999915</v>
      </c>
      <c r="H222" s="872">
        <f t="shared" si="40"/>
        <v>158.16666666666578</v>
      </c>
      <c r="I222" s="872">
        <f t="shared" si="40"/>
        <v>167.89999999999887</v>
      </c>
      <c r="J222" s="872">
        <f t="shared" si="40"/>
        <v>173.98333333333341</v>
      </c>
      <c r="K222" s="872">
        <f t="shared" si="40"/>
        <v>146.00000000000134</v>
      </c>
      <c r="L222" s="872">
        <f t="shared" si="40"/>
        <v>155.73333333333369</v>
      </c>
      <c r="M222" s="872">
        <f t="shared" si="40"/>
        <v>161.81666666666791</v>
      </c>
      <c r="N222" s="872">
        <f t="shared" si="40"/>
        <v>109.5</v>
      </c>
      <c r="O222" s="872">
        <f t="shared" si="40"/>
        <v>119.23333333333235</v>
      </c>
      <c r="P222" s="872">
        <f t="shared" si="40"/>
        <v>125.31666666666658</v>
      </c>
      <c r="Q222" s="872">
        <f t="shared" si="40"/>
        <v>103.41666666666578</v>
      </c>
      <c r="R222" s="872">
        <f t="shared" si="40"/>
        <v>113.14999999999854</v>
      </c>
      <c r="S222" s="872">
        <f t="shared" si="40"/>
        <v>119.23333333333235</v>
      </c>
      <c r="T222" s="872">
        <f t="shared" si="39"/>
        <v>97.333333333332547</v>
      </c>
      <c r="U222" s="872">
        <f t="shared" si="39"/>
        <v>107.0666666666673</v>
      </c>
      <c r="V222" s="872">
        <f t="shared" si="39"/>
        <v>113.14999999999854</v>
      </c>
      <c r="W222" s="872">
        <f t="shared" si="39"/>
        <v>91.250000000000071</v>
      </c>
      <c r="X222" s="872">
        <f t="shared" si="39"/>
        <v>100.98333333333369</v>
      </c>
      <c r="Y222" s="872">
        <f t="shared" si="39"/>
        <v>107.0666666666673</v>
      </c>
      <c r="Z222" s="872">
        <f t="shared" si="39"/>
        <v>85.166666666667112</v>
      </c>
      <c r="AA222" s="872">
        <f t="shared" si="39"/>
        <v>94.899999999999466</v>
      </c>
      <c r="AB222" s="872">
        <f t="shared" si="39"/>
        <v>100.98333333333369</v>
      </c>
      <c r="AC222" s="872">
        <f t="shared" si="39"/>
        <v>79.083333333332888</v>
      </c>
      <c r="AD222" s="872">
        <f t="shared" si="39"/>
        <v>88.81666666666662</v>
      </c>
      <c r="AE222" s="872">
        <f t="shared" si="39"/>
        <v>94.899999999999466</v>
      </c>
      <c r="AF222" s="872">
        <f t="shared" si="39"/>
        <v>73.000000000000668</v>
      </c>
      <c r="AG222" s="872">
        <f t="shared" si="39"/>
        <v>82.73333333333332</v>
      </c>
      <c r="AH222" s="872">
        <f t="shared" si="41"/>
        <v>88.81666666666662</v>
      </c>
      <c r="AI222" s="872">
        <f t="shared" si="41"/>
        <v>66.916666666666444</v>
      </c>
      <c r="AJ222" s="872">
        <f t="shared" si="41"/>
        <v>76.650000000000801</v>
      </c>
      <c r="AK222" s="872">
        <f t="shared" si="41"/>
        <v>82.73333333333332</v>
      </c>
    </row>
    <row r="223" spans="1:37" ht="13.5" thickBot="1">
      <c r="A223" s="868"/>
      <c r="B223" s="868"/>
      <c r="C223" s="868"/>
      <c r="D223" s="873">
        <f t="shared" si="36"/>
        <v>0.6111111111111095</v>
      </c>
      <c r="E223" s="872">
        <f t="shared" si="40"/>
        <v>171.111111111112</v>
      </c>
      <c r="F223" s="872">
        <f t="shared" si="40"/>
        <v>180.88888888889016</v>
      </c>
      <c r="G223" s="872">
        <f t="shared" si="40"/>
        <v>186.99999999999915</v>
      </c>
      <c r="H223" s="872">
        <f t="shared" si="40"/>
        <v>158.888888888888</v>
      </c>
      <c r="I223" s="872">
        <f t="shared" si="40"/>
        <v>168.66666666666555</v>
      </c>
      <c r="J223" s="872">
        <f t="shared" si="40"/>
        <v>174.77777777777786</v>
      </c>
      <c r="K223" s="872">
        <f t="shared" si="40"/>
        <v>146.66666666666799</v>
      </c>
      <c r="L223" s="872">
        <f t="shared" si="40"/>
        <v>156.4444444444448</v>
      </c>
      <c r="M223" s="872">
        <f t="shared" si="40"/>
        <v>162.55555555555679</v>
      </c>
      <c r="N223" s="872">
        <f t="shared" si="40"/>
        <v>110</v>
      </c>
      <c r="O223" s="872">
        <f t="shared" si="40"/>
        <v>119.77777777777681</v>
      </c>
      <c r="P223" s="872">
        <f t="shared" si="40"/>
        <v>125.8888888888888</v>
      </c>
      <c r="Q223" s="872">
        <f t="shared" si="40"/>
        <v>103.888888888888</v>
      </c>
      <c r="R223" s="872">
        <f t="shared" si="40"/>
        <v>113.66666666666521</v>
      </c>
      <c r="S223" s="872">
        <f t="shared" si="40"/>
        <v>119.77777777777681</v>
      </c>
      <c r="T223" s="872">
        <f t="shared" si="39"/>
        <v>97.77777777777699</v>
      </c>
      <c r="U223" s="872">
        <f t="shared" si="39"/>
        <v>107.5555555555562</v>
      </c>
      <c r="V223" s="872">
        <f t="shared" si="39"/>
        <v>113.66666666666521</v>
      </c>
      <c r="W223" s="872">
        <f t="shared" si="39"/>
        <v>91.666666666666742</v>
      </c>
      <c r="X223" s="872">
        <f t="shared" si="39"/>
        <v>101.4444444444448</v>
      </c>
      <c r="Y223" s="872">
        <f t="shared" si="39"/>
        <v>107.5555555555562</v>
      </c>
      <c r="Z223" s="872">
        <f t="shared" si="39"/>
        <v>85.555555555555998</v>
      </c>
      <c r="AA223" s="872">
        <f t="shared" si="39"/>
        <v>95.333333333332803</v>
      </c>
      <c r="AB223" s="872">
        <f t="shared" si="39"/>
        <v>101.4444444444448</v>
      </c>
      <c r="AC223" s="872">
        <f t="shared" si="39"/>
        <v>79.444444444444002</v>
      </c>
      <c r="AD223" s="872">
        <f t="shared" si="39"/>
        <v>89.222222222222172</v>
      </c>
      <c r="AE223" s="872">
        <f t="shared" si="39"/>
        <v>95.333333333332803</v>
      </c>
      <c r="AF223" s="872">
        <f t="shared" si="39"/>
        <v>73.333333333333997</v>
      </c>
      <c r="AG223" s="872">
        <f t="shared" si="39"/>
        <v>83.1111111111111</v>
      </c>
      <c r="AH223" s="872">
        <f t="shared" si="41"/>
        <v>89.222222222222172</v>
      </c>
      <c r="AI223" s="872">
        <f t="shared" si="41"/>
        <v>67.222222222222001</v>
      </c>
      <c r="AJ223" s="872">
        <f t="shared" si="41"/>
        <v>77.000000000000796</v>
      </c>
      <c r="AK223" s="872">
        <f t="shared" si="41"/>
        <v>83.1111111111111</v>
      </c>
    </row>
    <row r="224" spans="1:37" ht="13.5" thickBot="1">
      <c r="A224" s="868"/>
      <c r="B224" s="868"/>
      <c r="C224" s="868"/>
      <c r="D224" s="873">
        <f t="shared" si="36"/>
        <v>0.61388888888888726</v>
      </c>
      <c r="E224" s="872">
        <f t="shared" si="40"/>
        <v>171.88888888888977</v>
      </c>
      <c r="F224" s="872">
        <f t="shared" si="40"/>
        <v>181.71111111111239</v>
      </c>
      <c r="G224" s="872">
        <f t="shared" si="40"/>
        <v>187.84999999999914</v>
      </c>
      <c r="H224" s="872">
        <f t="shared" si="40"/>
        <v>159.61111111111023</v>
      </c>
      <c r="I224" s="872">
        <f t="shared" si="40"/>
        <v>169.43333333333223</v>
      </c>
      <c r="J224" s="872">
        <f t="shared" si="40"/>
        <v>175.57222222222231</v>
      </c>
      <c r="K224" s="872">
        <f t="shared" si="40"/>
        <v>147.33333333333465</v>
      </c>
      <c r="L224" s="872">
        <f t="shared" si="40"/>
        <v>157.15555555555591</v>
      </c>
      <c r="M224" s="872">
        <f t="shared" si="40"/>
        <v>163.29444444444567</v>
      </c>
      <c r="N224" s="872">
        <f t="shared" si="40"/>
        <v>110.5</v>
      </c>
      <c r="O224" s="872">
        <f t="shared" si="40"/>
        <v>120.32222222222126</v>
      </c>
      <c r="P224" s="872">
        <f t="shared" si="40"/>
        <v>126.46111111111102</v>
      </c>
      <c r="Q224" s="872">
        <f t="shared" si="40"/>
        <v>104.36111111111023</v>
      </c>
      <c r="R224" s="872">
        <f t="shared" si="40"/>
        <v>114.18333333333187</v>
      </c>
      <c r="S224" s="872">
        <f t="shared" si="40"/>
        <v>120.32222222222126</v>
      </c>
      <c r="T224" s="872">
        <f t="shared" si="39"/>
        <v>98.222222222221433</v>
      </c>
      <c r="U224" s="872">
        <f t="shared" si="39"/>
        <v>108.04444444444509</v>
      </c>
      <c r="V224" s="872">
        <f t="shared" si="39"/>
        <v>114.18333333333187</v>
      </c>
      <c r="W224" s="872">
        <f t="shared" si="39"/>
        <v>92.083333333333414</v>
      </c>
      <c r="X224" s="872">
        <f t="shared" si="39"/>
        <v>101.90555555555591</v>
      </c>
      <c r="Y224" s="872">
        <f t="shared" si="39"/>
        <v>108.04444444444509</v>
      </c>
      <c r="Z224" s="872">
        <f t="shared" si="39"/>
        <v>85.944444444444883</v>
      </c>
      <c r="AA224" s="872">
        <f t="shared" si="39"/>
        <v>95.76666666666614</v>
      </c>
      <c r="AB224" s="872">
        <f t="shared" si="39"/>
        <v>101.90555555555591</v>
      </c>
      <c r="AC224" s="872">
        <f t="shared" si="39"/>
        <v>79.805555555555117</v>
      </c>
      <c r="AD224" s="872">
        <f t="shared" si="39"/>
        <v>89.627777777777723</v>
      </c>
      <c r="AE224" s="872">
        <f t="shared" si="39"/>
        <v>95.76666666666614</v>
      </c>
      <c r="AF224" s="872">
        <f t="shared" si="39"/>
        <v>73.666666666667325</v>
      </c>
      <c r="AG224" s="872">
        <f t="shared" si="39"/>
        <v>83.48888888888888</v>
      </c>
      <c r="AH224" s="872">
        <f t="shared" si="41"/>
        <v>89.627777777777723</v>
      </c>
      <c r="AI224" s="872">
        <f t="shared" si="41"/>
        <v>67.527777777777558</v>
      </c>
      <c r="AJ224" s="872">
        <f t="shared" si="41"/>
        <v>77.35000000000079</v>
      </c>
      <c r="AK224" s="872">
        <f t="shared" si="41"/>
        <v>83.48888888888888</v>
      </c>
    </row>
    <row r="225" spans="1:37" ht="13.5" thickBot="1">
      <c r="A225" s="868"/>
      <c r="B225" s="868"/>
      <c r="C225" s="868"/>
      <c r="D225" s="873">
        <f t="shared" si="36"/>
        <v>0.61666666666666503</v>
      </c>
      <c r="E225" s="872">
        <f t="shared" si="40"/>
        <v>172.66666666666754</v>
      </c>
      <c r="F225" s="872">
        <f t="shared" si="40"/>
        <v>182.53333333333461</v>
      </c>
      <c r="G225" s="872">
        <f t="shared" si="40"/>
        <v>188.69999999999914</v>
      </c>
      <c r="H225" s="872">
        <f t="shared" si="40"/>
        <v>160.33333333333246</v>
      </c>
      <c r="I225" s="872">
        <f t="shared" si="40"/>
        <v>170.19999999999891</v>
      </c>
      <c r="J225" s="872">
        <f t="shared" si="40"/>
        <v>176.36666666666676</v>
      </c>
      <c r="K225" s="872">
        <f t="shared" si="40"/>
        <v>148.00000000000131</v>
      </c>
      <c r="L225" s="872">
        <f t="shared" si="40"/>
        <v>157.86666666666702</v>
      </c>
      <c r="M225" s="872">
        <f t="shared" si="40"/>
        <v>164.03333333333455</v>
      </c>
      <c r="N225" s="872">
        <f t="shared" si="40"/>
        <v>111</v>
      </c>
      <c r="O225" s="872">
        <f t="shared" si="40"/>
        <v>120.86666666666571</v>
      </c>
      <c r="P225" s="872">
        <f t="shared" si="40"/>
        <v>127.03333333333325</v>
      </c>
      <c r="Q225" s="872">
        <f t="shared" si="40"/>
        <v>104.83333333333246</v>
      </c>
      <c r="R225" s="872">
        <f t="shared" si="40"/>
        <v>114.69999999999854</v>
      </c>
      <c r="S225" s="872">
        <f t="shared" si="40"/>
        <v>120.86666666666571</v>
      </c>
      <c r="T225" s="872">
        <f t="shared" si="39"/>
        <v>98.666666666665876</v>
      </c>
      <c r="U225" s="872">
        <f t="shared" si="39"/>
        <v>108.53333333333399</v>
      </c>
      <c r="V225" s="872">
        <f t="shared" si="39"/>
        <v>114.69999999999854</v>
      </c>
      <c r="W225" s="872">
        <f t="shared" si="39"/>
        <v>92.500000000000085</v>
      </c>
      <c r="X225" s="872">
        <f t="shared" si="39"/>
        <v>102.36666666666702</v>
      </c>
      <c r="Y225" s="872">
        <f t="shared" si="39"/>
        <v>108.53333333333399</v>
      </c>
      <c r="Z225" s="872">
        <f t="shared" si="39"/>
        <v>86.333333333333769</v>
      </c>
      <c r="AA225" s="872">
        <f t="shared" si="39"/>
        <v>96.199999999999477</v>
      </c>
      <c r="AB225" s="872">
        <f t="shared" si="39"/>
        <v>102.36666666666702</v>
      </c>
      <c r="AC225" s="872">
        <f t="shared" si="39"/>
        <v>80.166666666666231</v>
      </c>
      <c r="AD225" s="872">
        <f t="shared" si="39"/>
        <v>90.033333333333275</v>
      </c>
      <c r="AE225" s="872">
        <f t="shared" si="39"/>
        <v>96.199999999999477</v>
      </c>
      <c r="AF225" s="872">
        <f t="shared" si="39"/>
        <v>74.000000000000654</v>
      </c>
      <c r="AG225" s="872">
        <f t="shared" si="39"/>
        <v>83.86666666666666</v>
      </c>
      <c r="AH225" s="872">
        <f t="shared" si="41"/>
        <v>90.033333333333275</v>
      </c>
      <c r="AI225" s="872">
        <f t="shared" si="41"/>
        <v>67.833333333333115</v>
      </c>
      <c r="AJ225" s="872">
        <f t="shared" si="41"/>
        <v>77.700000000000784</v>
      </c>
      <c r="AK225" s="872">
        <f t="shared" si="41"/>
        <v>83.86666666666666</v>
      </c>
    </row>
    <row r="226" spans="1:37" ht="13.5" thickBot="1">
      <c r="A226" s="868"/>
      <c r="B226" s="868"/>
      <c r="C226" s="868"/>
      <c r="D226" s="873">
        <f t="shared" si="36"/>
        <v>0.6194444444444428</v>
      </c>
      <c r="E226" s="872">
        <f t="shared" si="40"/>
        <v>173.44444444444531</v>
      </c>
      <c r="F226" s="872">
        <f t="shared" si="40"/>
        <v>183.35555555555683</v>
      </c>
      <c r="G226" s="872">
        <f t="shared" si="40"/>
        <v>189.54999999999913</v>
      </c>
      <c r="H226" s="872">
        <f t="shared" si="40"/>
        <v>161.05555555555469</v>
      </c>
      <c r="I226" s="872">
        <f t="shared" si="40"/>
        <v>170.96666666666559</v>
      </c>
      <c r="J226" s="872">
        <f t="shared" si="40"/>
        <v>177.16111111111121</v>
      </c>
      <c r="K226" s="872">
        <f t="shared" si="40"/>
        <v>148.66666666666796</v>
      </c>
      <c r="L226" s="872">
        <f t="shared" si="40"/>
        <v>158.57777777777812</v>
      </c>
      <c r="M226" s="872">
        <f t="shared" si="40"/>
        <v>164.77222222222343</v>
      </c>
      <c r="N226" s="872">
        <f t="shared" si="40"/>
        <v>111.5</v>
      </c>
      <c r="O226" s="872">
        <f t="shared" si="40"/>
        <v>121.41111111111016</v>
      </c>
      <c r="P226" s="872">
        <f t="shared" si="40"/>
        <v>127.60555555555547</v>
      </c>
      <c r="Q226" s="872">
        <f t="shared" si="40"/>
        <v>105.30555555555469</v>
      </c>
      <c r="R226" s="872">
        <f t="shared" si="40"/>
        <v>115.2166666666652</v>
      </c>
      <c r="S226" s="872">
        <f t="shared" si="40"/>
        <v>121.41111111111016</v>
      </c>
      <c r="T226" s="872">
        <f t="shared" si="39"/>
        <v>99.111111111110318</v>
      </c>
      <c r="U226" s="872">
        <f t="shared" si="39"/>
        <v>109.02222222222288</v>
      </c>
      <c r="V226" s="872">
        <f t="shared" si="39"/>
        <v>115.2166666666652</v>
      </c>
      <c r="W226" s="872">
        <f t="shared" si="39"/>
        <v>92.916666666666757</v>
      </c>
      <c r="X226" s="872">
        <f t="shared" si="39"/>
        <v>102.82777777777812</v>
      </c>
      <c r="Y226" s="872">
        <f t="shared" si="39"/>
        <v>109.02222222222288</v>
      </c>
      <c r="Z226" s="872">
        <f t="shared" si="39"/>
        <v>86.722222222222655</v>
      </c>
      <c r="AA226" s="872">
        <f t="shared" si="39"/>
        <v>96.633333333332814</v>
      </c>
      <c r="AB226" s="872">
        <f t="shared" si="39"/>
        <v>102.82777777777812</v>
      </c>
      <c r="AC226" s="872">
        <f t="shared" si="39"/>
        <v>80.527777777777345</v>
      </c>
      <c r="AD226" s="872">
        <f t="shared" si="39"/>
        <v>90.438888888888826</v>
      </c>
      <c r="AE226" s="872">
        <f t="shared" si="39"/>
        <v>96.633333333332814</v>
      </c>
      <c r="AF226" s="872">
        <f t="shared" si="39"/>
        <v>74.333333333333982</v>
      </c>
      <c r="AG226" s="872">
        <f t="shared" si="39"/>
        <v>84.24444444444444</v>
      </c>
      <c r="AH226" s="872">
        <f t="shared" si="41"/>
        <v>90.438888888888826</v>
      </c>
      <c r="AI226" s="872">
        <f t="shared" si="41"/>
        <v>68.138888888888673</v>
      </c>
      <c r="AJ226" s="872">
        <f t="shared" si="41"/>
        <v>78.050000000000779</v>
      </c>
      <c r="AK226" s="872">
        <f t="shared" si="41"/>
        <v>84.24444444444444</v>
      </c>
    </row>
    <row r="227" spans="1:37" ht="13.5" thickBot="1">
      <c r="A227" s="868"/>
      <c r="B227" s="868"/>
      <c r="C227" s="868"/>
      <c r="D227" s="873">
        <f t="shared" si="36"/>
        <v>0.62222222222222057</v>
      </c>
      <c r="E227" s="872">
        <f t="shared" si="40"/>
        <v>174.22222222222308</v>
      </c>
      <c r="F227" s="872">
        <f t="shared" si="40"/>
        <v>184.17777777777906</v>
      </c>
      <c r="G227" s="872">
        <f t="shared" si="40"/>
        <v>190.39999999999912</v>
      </c>
      <c r="H227" s="872">
        <f t="shared" si="40"/>
        <v>161.77777777777692</v>
      </c>
      <c r="I227" s="872">
        <f t="shared" si="40"/>
        <v>171.73333333333227</v>
      </c>
      <c r="J227" s="872">
        <f t="shared" si="40"/>
        <v>177.95555555555566</v>
      </c>
      <c r="K227" s="872">
        <f t="shared" si="40"/>
        <v>149.33333333333462</v>
      </c>
      <c r="L227" s="872">
        <f t="shared" si="40"/>
        <v>159.28888888888923</v>
      </c>
      <c r="M227" s="872">
        <f t="shared" si="40"/>
        <v>165.51111111111231</v>
      </c>
      <c r="N227" s="872">
        <f t="shared" si="40"/>
        <v>112</v>
      </c>
      <c r="O227" s="872">
        <f t="shared" si="40"/>
        <v>121.95555555555461</v>
      </c>
      <c r="P227" s="872">
        <f t="shared" si="40"/>
        <v>128.17777777777769</v>
      </c>
      <c r="Q227" s="872">
        <f t="shared" si="40"/>
        <v>105.77777777777692</v>
      </c>
      <c r="R227" s="872">
        <f t="shared" si="40"/>
        <v>115.73333333333187</v>
      </c>
      <c r="S227" s="872">
        <f t="shared" si="40"/>
        <v>121.95555555555461</v>
      </c>
      <c r="T227" s="872">
        <f t="shared" si="39"/>
        <v>99.555555555554761</v>
      </c>
      <c r="U227" s="872">
        <f t="shared" si="39"/>
        <v>109.51111111111177</v>
      </c>
      <c r="V227" s="872">
        <f t="shared" si="39"/>
        <v>115.73333333333187</v>
      </c>
      <c r="W227" s="872">
        <f t="shared" si="39"/>
        <v>93.333333333333428</v>
      </c>
      <c r="X227" s="872">
        <f t="shared" si="39"/>
        <v>103.28888888888923</v>
      </c>
      <c r="Y227" s="872">
        <f t="shared" si="39"/>
        <v>109.51111111111177</v>
      </c>
      <c r="Z227" s="872">
        <f t="shared" si="39"/>
        <v>87.111111111111541</v>
      </c>
      <c r="AA227" s="872">
        <f t="shared" si="39"/>
        <v>97.066666666666151</v>
      </c>
      <c r="AB227" s="872">
        <f t="shared" si="39"/>
        <v>103.28888888888923</v>
      </c>
      <c r="AC227" s="872">
        <f t="shared" si="39"/>
        <v>80.888888888888459</v>
      </c>
      <c r="AD227" s="872">
        <f t="shared" si="39"/>
        <v>90.844444444444377</v>
      </c>
      <c r="AE227" s="872">
        <f t="shared" si="39"/>
        <v>97.066666666666151</v>
      </c>
      <c r="AF227" s="872">
        <f t="shared" si="39"/>
        <v>74.666666666667311</v>
      </c>
      <c r="AG227" s="872">
        <f t="shared" si="39"/>
        <v>84.62222222222222</v>
      </c>
      <c r="AH227" s="872">
        <f t="shared" si="41"/>
        <v>90.844444444444377</v>
      </c>
      <c r="AI227" s="872">
        <f t="shared" si="41"/>
        <v>68.44444444444423</v>
      </c>
      <c r="AJ227" s="872">
        <f t="shared" si="41"/>
        <v>78.400000000000773</v>
      </c>
      <c r="AK227" s="872">
        <f t="shared" si="41"/>
        <v>84.62222222222222</v>
      </c>
    </row>
    <row r="228" spans="1:37" ht="13.5" thickBot="1">
      <c r="A228" s="868"/>
      <c r="B228" s="868"/>
      <c r="C228" s="868"/>
      <c r="D228" s="873">
        <f t="shared" si="36"/>
        <v>0.62499999999999833</v>
      </c>
      <c r="E228" s="872">
        <f t="shared" si="40"/>
        <v>175.00000000000085</v>
      </c>
      <c r="F228" s="872">
        <f t="shared" si="40"/>
        <v>185.00000000000128</v>
      </c>
      <c r="G228" s="872">
        <f t="shared" si="40"/>
        <v>191.24999999999912</v>
      </c>
      <c r="H228" s="872">
        <f t="shared" si="40"/>
        <v>162.49999999999915</v>
      </c>
      <c r="I228" s="872">
        <f t="shared" si="40"/>
        <v>172.49999999999895</v>
      </c>
      <c r="J228" s="872">
        <f t="shared" si="40"/>
        <v>178.75000000000011</v>
      </c>
      <c r="K228" s="872">
        <f t="shared" si="40"/>
        <v>150.00000000000128</v>
      </c>
      <c r="L228" s="872">
        <f t="shared" si="40"/>
        <v>160.00000000000034</v>
      </c>
      <c r="M228" s="872">
        <f t="shared" si="40"/>
        <v>166.25000000000119</v>
      </c>
      <c r="N228" s="872">
        <f t="shared" si="40"/>
        <v>112.5</v>
      </c>
      <c r="O228" s="872">
        <f t="shared" si="40"/>
        <v>122.49999999999906</v>
      </c>
      <c r="P228" s="872">
        <f t="shared" si="40"/>
        <v>128.74999999999991</v>
      </c>
      <c r="Q228" s="872">
        <f t="shared" si="40"/>
        <v>106.24999999999915</v>
      </c>
      <c r="R228" s="872">
        <f t="shared" si="40"/>
        <v>116.24999999999854</v>
      </c>
      <c r="S228" s="872">
        <f t="shared" si="40"/>
        <v>122.49999999999906</v>
      </c>
      <c r="T228" s="872">
        <f t="shared" si="39"/>
        <v>99.999999999999204</v>
      </c>
      <c r="U228" s="872">
        <f t="shared" si="39"/>
        <v>110.00000000000067</v>
      </c>
      <c r="V228" s="872">
        <f t="shared" si="39"/>
        <v>116.24999999999854</v>
      </c>
      <c r="W228" s="872">
        <f t="shared" si="39"/>
        <v>93.750000000000099</v>
      </c>
      <c r="X228" s="872">
        <f t="shared" si="39"/>
        <v>103.75000000000034</v>
      </c>
      <c r="Y228" s="872">
        <f t="shared" si="39"/>
        <v>110.00000000000067</v>
      </c>
      <c r="Z228" s="872">
        <f t="shared" si="39"/>
        <v>87.500000000000426</v>
      </c>
      <c r="AA228" s="872">
        <f t="shared" si="39"/>
        <v>97.499999999999488</v>
      </c>
      <c r="AB228" s="872">
        <f t="shared" si="39"/>
        <v>103.75000000000034</v>
      </c>
      <c r="AC228" s="872">
        <f t="shared" si="39"/>
        <v>81.249999999999574</v>
      </c>
      <c r="AD228" s="872">
        <f t="shared" si="39"/>
        <v>91.249999999999929</v>
      </c>
      <c r="AE228" s="872">
        <f t="shared" si="39"/>
        <v>97.499999999999488</v>
      </c>
      <c r="AF228" s="872">
        <f t="shared" si="39"/>
        <v>75.000000000000639</v>
      </c>
      <c r="AG228" s="872">
        <f t="shared" si="39"/>
        <v>85</v>
      </c>
      <c r="AH228" s="872">
        <f t="shared" si="41"/>
        <v>91.249999999999929</v>
      </c>
      <c r="AI228" s="872">
        <f t="shared" si="41"/>
        <v>68.749999999999787</v>
      </c>
      <c r="AJ228" s="872">
        <f t="shared" si="41"/>
        <v>78.750000000000767</v>
      </c>
      <c r="AK228" s="872">
        <f t="shared" si="41"/>
        <v>85</v>
      </c>
    </row>
    <row r="229" spans="1:37" ht="13.5" thickBot="1">
      <c r="A229" s="868"/>
      <c r="B229" s="868"/>
      <c r="C229" s="868"/>
      <c r="D229" s="873">
        <f t="shared" si="36"/>
        <v>0.6277777777777761</v>
      </c>
      <c r="E229" s="872">
        <f t="shared" si="40"/>
        <v>175.77777777777862</v>
      </c>
      <c r="F229" s="872">
        <f t="shared" si="40"/>
        <v>185.8222222222235</v>
      </c>
      <c r="G229" s="872">
        <f t="shared" si="40"/>
        <v>192.09999999999911</v>
      </c>
      <c r="H229" s="872">
        <f t="shared" si="40"/>
        <v>163.22222222222138</v>
      </c>
      <c r="I229" s="872">
        <f t="shared" si="40"/>
        <v>173.26666666666563</v>
      </c>
      <c r="J229" s="872">
        <f t="shared" si="40"/>
        <v>179.54444444444457</v>
      </c>
      <c r="K229" s="872">
        <f t="shared" si="40"/>
        <v>150.66666666666794</v>
      </c>
      <c r="L229" s="872">
        <f t="shared" si="40"/>
        <v>160.71111111111145</v>
      </c>
      <c r="M229" s="872">
        <f t="shared" si="40"/>
        <v>166.98888888889007</v>
      </c>
      <c r="N229" s="872">
        <f t="shared" si="40"/>
        <v>113</v>
      </c>
      <c r="O229" s="872">
        <f t="shared" si="40"/>
        <v>123.04444444444351</v>
      </c>
      <c r="P229" s="872">
        <f t="shared" si="40"/>
        <v>129.32222222222214</v>
      </c>
      <c r="Q229" s="872">
        <f t="shared" si="40"/>
        <v>106.72222222222138</v>
      </c>
      <c r="R229" s="872">
        <f t="shared" si="40"/>
        <v>116.7666666666652</v>
      </c>
      <c r="S229" s="872">
        <f t="shared" si="40"/>
        <v>123.04444444444351</v>
      </c>
      <c r="T229" s="872">
        <f t="shared" si="39"/>
        <v>100.44444444444365</v>
      </c>
      <c r="U229" s="872">
        <f t="shared" si="39"/>
        <v>110.48888888888956</v>
      </c>
      <c r="V229" s="872">
        <f t="shared" si="39"/>
        <v>116.7666666666652</v>
      </c>
      <c r="W229" s="872">
        <f t="shared" si="39"/>
        <v>94.166666666666771</v>
      </c>
      <c r="X229" s="872">
        <f t="shared" si="39"/>
        <v>104.21111111111145</v>
      </c>
      <c r="Y229" s="872">
        <f t="shared" si="39"/>
        <v>110.48888888888956</v>
      </c>
      <c r="Z229" s="872">
        <f t="shared" si="39"/>
        <v>87.888888888889312</v>
      </c>
      <c r="AA229" s="872">
        <f t="shared" si="39"/>
        <v>97.933333333332826</v>
      </c>
      <c r="AB229" s="872">
        <f t="shared" si="39"/>
        <v>104.21111111111145</v>
      </c>
      <c r="AC229" s="872">
        <f t="shared" si="39"/>
        <v>81.611111111110688</v>
      </c>
      <c r="AD229" s="872">
        <f t="shared" si="39"/>
        <v>91.65555555555548</v>
      </c>
      <c r="AE229" s="872">
        <f t="shared" si="39"/>
        <v>97.933333333332826</v>
      </c>
      <c r="AF229" s="872">
        <f t="shared" si="39"/>
        <v>75.333333333333968</v>
      </c>
      <c r="AG229" s="872">
        <f t="shared" si="39"/>
        <v>85.37777777777778</v>
      </c>
      <c r="AH229" s="872">
        <f t="shared" si="41"/>
        <v>91.65555555555548</v>
      </c>
      <c r="AI229" s="872">
        <f t="shared" si="41"/>
        <v>69.055555555555344</v>
      </c>
      <c r="AJ229" s="872">
        <f t="shared" si="41"/>
        <v>79.100000000000762</v>
      </c>
      <c r="AK229" s="872">
        <f t="shared" si="41"/>
        <v>85.37777777777778</v>
      </c>
    </row>
    <row r="230" spans="1:37" ht="13.5" thickBot="1">
      <c r="A230" s="868"/>
      <c r="B230" s="868"/>
      <c r="C230" s="868"/>
      <c r="D230" s="873">
        <f t="shared" si="36"/>
        <v>0.63055555555555387</v>
      </c>
      <c r="E230" s="872">
        <f t="shared" si="40"/>
        <v>176.5555555555564</v>
      </c>
      <c r="F230" s="872">
        <f t="shared" si="40"/>
        <v>186.64444444444572</v>
      </c>
      <c r="G230" s="872">
        <f t="shared" si="40"/>
        <v>192.94999999999911</v>
      </c>
      <c r="H230" s="872">
        <f t="shared" si="40"/>
        <v>163.9444444444436</v>
      </c>
      <c r="I230" s="872">
        <f t="shared" si="40"/>
        <v>174.03333333333231</v>
      </c>
      <c r="J230" s="872">
        <f t="shared" si="40"/>
        <v>180.33888888888902</v>
      </c>
      <c r="K230" s="872">
        <f t="shared" si="40"/>
        <v>151.33333333333459</v>
      </c>
      <c r="L230" s="872">
        <f t="shared" si="40"/>
        <v>161.42222222222256</v>
      </c>
      <c r="M230" s="872">
        <f t="shared" si="40"/>
        <v>167.72777777777895</v>
      </c>
      <c r="N230" s="872">
        <f t="shared" si="40"/>
        <v>113.5</v>
      </c>
      <c r="O230" s="872">
        <f t="shared" si="40"/>
        <v>123.58888888888796</v>
      </c>
      <c r="P230" s="872">
        <f t="shared" si="40"/>
        <v>129.89444444444436</v>
      </c>
      <c r="Q230" s="872">
        <f t="shared" si="40"/>
        <v>107.1944444444436</v>
      </c>
      <c r="R230" s="872">
        <f t="shared" si="40"/>
        <v>117.28333333333187</v>
      </c>
      <c r="S230" s="872">
        <f t="shared" si="40"/>
        <v>123.58888888888796</v>
      </c>
      <c r="T230" s="872">
        <f t="shared" si="39"/>
        <v>100.88888888888809</v>
      </c>
      <c r="U230" s="872">
        <f t="shared" si="39"/>
        <v>110.97777777777846</v>
      </c>
      <c r="V230" s="872">
        <f t="shared" si="39"/>
        <v>117.28333333333187</v>
      </c>
      <c r="W230" s="872">
        <f t="shared" si="39"/>
        <v>94.583333333333442</v>
      </c>
      <c r="X230" s="872">
        <f t="shared" si="39"/>
        <v>104.67222222222256</v>
      </c>
      <c r="Y230" s="872">
        <f t="shared" si="39"/>
        <v>110.97777777777846</v>
      </c>
      <c r="Z230" s="872">
        <f t="shared" si="39"/>
        <v>88.277777777778198</v>
      </c>
      <c r="AA230" s="872">
        <f t="shared" si="39"/>
        <v>98.366666666666163</v>
      </c>
      <c r="AB230" s="872">
        <f t="shared" si="39"/>
        <v>104.67222222222256</v>
      </c>
      <c r="AC230" s="872">
        <f t="shared" si="39"/>
        <v>81.972222222221802</v>
      </c>
      <c r="AD230" s="872">
        <f t="shared" si="39"/>
        <v>92.061111111111032</v>
      </c>
      <c r="AE230" s="872">
        <f t="shared" si="39"/>
        <v>98.366666666666163</v>
      </c>
      <c r="AF230" s="872">
        <f t="shared" si="39"/>
        <v>75.666666666667297</v>
      </c>
      <c r="AG230" s="872">
        <f t="shared" si="39"/>
        <v>85.75555555555556</v>
      </c>
      <c r="AH230" s="872">
        <f t="shared" si="41"/>
        <v>92.061111111111032</v>
      </c>
      <c r="AI230" s="872">
        <f t="shared" si="41"/>
        <v>69.361111111110901</v>
      </c>
      <c r="AJ230" s="872">
        <f t="shared" si="41"/>
        <v>79.450000000000756</v>
      </c>
      <c r="AK230" s="872">
        <f t="shared" si="41"/>
        <v>85.75555555555556</v>
      </c>
    </row>
    <row r="231" spans="1:37" ht="13.5" thickBot="1">
      <c r="A231" s="868"/>
      <c r="B231" s="868"/>
      <c r="C231" s="868"/>
      <c r="D231" s="873">
        <f t="shared" si="36"/>
        <v>0.63333333333333164</v>
      </c>
      <c r="E231" s="872">
        <f t="shared" si="40"/>
        <v>177.33333333333417</v>
      </c>
      <c r="F231" s="872">
        <f t="shared" si="40"/>
        <v>187.46666666666795</v>
      </c>
      <c r="G231" s="872">
        <f t="shared" si="40"/>
        <v>193.7999999999991</v>
      </c>
      <c r="H231" s="872">
        <f t="shared" si="40"/>
        <v>164.66666666666583</v>
      </c>
      <c r="I231" s="872">
        <f t="shared" si="40"/>
        <v>174.79999999999899</v>
      </c>
      <c r="J231" s="872">
        <f t="shared" si="40"/>
        <v>181.13333333333347</v>
      </c>
      <c r="K231" s="872">
        <f t="shared" si="40"/>
        <v>152.00000000000125</v>
      </c>
      <c r="L231" s="872">
        <f t="shared" si="40"/>
        <v>162.13333333333367</v>
      </c>
      <c r="M231" s="872">
        <f t="shared" si="40"/>
        <v>168.46666666666783</v>
      </c>
      <c r="N231" s="872">
        <f t="shared" si="40"/>
        <v>114</v>
      </c>
      <c r="O231" s="872">
        <f t="shared" si="40"/>
        <v>124.13333333333242</v>
      </c>
      <c r="P231" s="872">
        <f t="shared" si="40"/>
        <v>130.46666666666658</v>
      </c>
      <c r="Q231" s="872">
        <f t="shared" si="40"/>
        <v>107.66666666666583</v>
      </c>
      <c r="R231" s="872">
        <f t="shared" si="40"/>
        <v>117.79999999999853</v>
      </c>
      <c r="S231" s="872">
        <f t="shared" si="40"/>
        <v>124.13333333333242</v>
      </c>
      <c r="T231" s="872">
        <f t="shared" si="39"/>
        <v>101.33333333333253</v>
      </c>
      <c r="U231" s="872">
        <f t="shared" si="39"/>
        <v>111.46666666666735</v>
      </c>
      <c r="V231" s="872">
        <f t="shared" si="39"/>
        <v>117.79999999999853</v>
      </c>
      <c r="W231" s="872">
        <f t="shared" si="39"/>
        <v>95.000000000000114</v>
      </c>
      <c r="X231" s="872">
        <f t="shared" si="39"/>
        <v>105.13333333333367</v>
      </c>
      <c r="Y231" s="872">
        <f t="shared" si="39"/>
        <v>111.46666666666735</v>
      </c>
      <c r="Z231" s="872">
        <f t="shared" si="39"/>
        <v>88.666666666667084</v>
      </c>
      <c r="AA231" s="872">
        <f t="shared" si="39"/>
        <v>98.7999999999995</v>
      </c>
      <c r="AB231" s="872">
        <f t="shared" si="39"/>
        <v>105.13333333333367</v>
      </c>
      <c r="AC231" s="872">
        <f t="shared" si="39"/>
        <v>82.333333333332916</v>
      </c>
      <c r="AD231" s="872">
        <f t="shared" si="39"/>
        <v>92.466666666666583</v>
      </c>
      <c r="AE231" s="872">
        <f t="shared" si="39"/>
        <v>98.7999999999995</v>
      </c>
      <c r="AF231" s="872">
        <f t="shared" si="39"/>
        <v>76.000000000000625</v>
      </c>
      <c r="AG231" s="872">
        <f t="shared" si="39"/>
        <v>86.13333333333334</v>
      </c>
      <c r="AH231" s="872">
        <f t="shared" si="41"/>
        <v>92.466666666666583</v>
      </c>
      <c r="AI231" s="872">
        <f t="shared" si="41"/>
        <v>69.666666666666458</v>
      </c>
      <c r="AJ231" s="872">
        <f t="shared" si="41"/>
        <v>79.80000000000075</v>
      </c>
      <c r="AK231" s="872">
        <f t="shared" si="41"/>
        <v>86.13333333333334</v>
      </c>
    </row>
    <row r="232" spans="1:37" ht="13.5" thickBot="1">
      <c r="A232" s="868"/>
      <c r="B232" s="868"/>
      <c r="C232" s="868"/>
      <c r="D232" s="873">
        <f t="shared" si="36"/>
        <v>0.63611111111110941</v>
      </c>
      <c r="E232" s="872">
        <f t="shared" si="40"/>
        <v>178.11111111111194</v>
      </c>
      <c r="F232" s="872">
        <f t="shared" si="40"/>
        <v>188.28888888889017</v>
      </c>
      <c r="G232" s="872">
        <f t="shared" si="40"/>
        <v>194.6499999999991</v>
      </c>
      <c r="H232" s="872">
        <f t="shared" si="40"/>
        <v>165.38888888888806</v>
      </c>
      <c r="I232" s="872">
        <f t="shared" si="40"/>
        <v>175.56666666666567</v>
      </c>
      <c r="J232" s="872">
        <f t="shared" si="40"/>
        <v>181.92777777777792</v>
      </c>
      <c r="K232" s="872">
        <f t="shared" si="40"/>
        <v>152.66666666666791</v>
      </c>
      <c r="L232" s="872">
        <f t="shared" si="40"/>
        <v>162.84444444444478</v>
      </c>
      <c r="M232" s="872">
        <f t="shared" si="40"/>
        <v>169.20555555555671</v>
      </c>
      <c r="N232" s="872">
        <f t="shared" si="40"/>
        <v>114.5</v>
      </c>
      <c r="O232" s="872">
        <f t="shared" si="40"/>
        <v>124.67777777777687</v>
      </c>
      <c r="P232" s="872">
        <f t="shared" si="40"/>
        <v>131.03888888888881</v>
      </c>
      <c r="Q232" s="872">
        <f t="shared" si="40"/>
        <v>108.13888888888806</v>
      </c>
      <c r="R232" s="872">
        <f t="shared" si="40"/>
        <v>118.3166666666652</v>
      </c>
      <c r="S232" s="872">
        <f t="shared" si="40"/>
        <v>124.67777777777687</v>
      </c>
      <c r="T232" s="872">
        <f t="shared" si="39"/>
        <v>101.77777777777698</v>
      </c>
      <c r="U232" s="872">
        <f t="shared" si="39"/>
        <v>111.95555555555624</v>
      </c>
      <c r="V232" s="872">
        <f t="shared" si="39"/>
        <v>118.3166666666652</v>
      </c>
      <c r="W232" s="872">
        <f t="shared" si="39"/>
        <v>95.416666666666785</v>
      </c>
      <c r="X232" s="872">
        <f t="shared" si="39"/>
        <v>105.59444444444478</v>
      </c>
      <c r="Y232" s="872">
        <f t="shared" si="39"/>
        <v>111.95555555555624</v>
      </c>
      <c r="Z232" s="872">
        <f t="shared" si="39"/>
        <v>89.055555555555969</v>
      </c>
      <c r="AA232" s="872">
        <f t="shared" si="39"/>
        <v>99.233333333332837</v>
      </c>
      <c r="AB232" s="872">
        <f t="shared" si="39"/>
        <v>105.59444444444478</v>
      </c>
      <c r="AC232" s="872">
        <f t="shared" si="39"/>
        <v>82.694444444444031</v>
      </c>
      <c r="AD232" s="872">
        <f t="shared" si="39"/>
        <v>92.872222222222135</v>
      </c>
      <c r="AE232" s="872">
        <f t="shared" si="39"/>
        <v>99.233333333332837</v>
      </c>
      <c r="AF232" s="872">
        <f t="shared" si="39"/>
        <v>76.333333333333954</v>
      </c>
      <c r="AG232" s="872">
        <f t="shared" si="39"/>
        <v>86.51111111111112</v>
      </c>
      <c r="AH232" s="872">
        <f t="shared" si="41"/>
        <v>92.872222222222135</v>
      </c>
      <c r="AI232" s="872">
        <f t="shared" si="41"/>
        <v>69.972222222222015</v>
      </c>
      <c r="AJ232" s="872">
        <f t="shared" si="41"/>
        <v>80.150000000000745</v>
      </c>
      <c r="AK232" s="872">
        <f t="shared" si="41"/>
        <v>86.51111111111112</v>
      </c>
    </row>
    <row r="233" spans="1:37" ht="13.5" thickBot="1">
      <c r="A233" s="868"/>
      <c r="B233" s="868"/>
      <c r="C233" s="868"/>
      <c r="D233" s="873">
        <f t="shared" si="36"/>
        <v>0.63888888888888717</v>
      </c>
      <c r="E233" s="872">
        <f t="shared" ref="E233:T248" si="42">E234-(E$363/360)</f>
        <v>178.88888888888971</v>
      </c>
      <c r="F233" s="872">
        <f t="shared" si="42"/>
        <v>189.11111111111239</v>
      </c>
      <c r="G233" s="872">
        <f t="shared" si="42"/>
        <v>195.49999999999909</v>
      </c>
      <c r="H233" s="872">
        <f t="shared" si="42"/>
        <v>166.11111111111029</v>
      </c>
      <c r="I233" s="872">
        <f t="shared" si="42"/>
        <v>176.33333333333235</v>
      </c>
      <c r="J233" s="872">
        <f t="shared" si="42"/>
        <v>182.72222222222237</v>
      </c>
      <c r="K233" s="872">
        <f t="shared" si="42"/>
        <v>153.33333333333456</v>
      </c>
      <c r="L233" s="872">
        <f t="shared" si="42"/>
        <v>163.55555555555588</v>
      </c>
      <c r="M233" s="872">
        <f t="shared" si="42"/>
        <v>169.94444444444559</v>
      </c>
      <c r="N233" s="872">
        <f t="shared" si="42"/>
        <v>115</v>
      </c>
      <c r="O233" s="872">
        <f t="shared" si="42"/>
        <v>125.22222222222132</v>
      </c>
      <c r="P233" s="872">
        <f t="shared" si="42"/>
        <v>131.61111111111103</v>
      </c>
      <c r="Q233" s="872">
        <f t="shared" si="42"/>
        <v>108.61111111111029</v>
      </c>
      <c r="R233" s="872">
        <f t="shared" si="42"/>
        <v>118.83333333333186</v>
      </c>
      <c r="S233" s="872">
        <f t="shared" si="42"/>
        <v>125.22222222222132</v>
      </c>
      <c r="T233" s="872">
        <f t="shared" si="39"/>
        <v>102.22222222222142</v>
      </c>
      <c r="U233" s="872">
        <f t="shared" ref="U233:AJ251" si="43">U234-(U$363/360)</f>
        <v>112.44444444444514</v>
      </c>
      <c r="V233" s="872">
        <f t="shared" si="43"/>
        <v>118.83333333333186</v>
      </c>
      <c r="W233" s="872">
        <f t="shared" si="43"/>
        <v>95.833333333333456</v>
      </c>
      <c r="X233" s="872">
        <f t="shared" si="43"/>
        <v>106.05555555555588</v>
      </c>
      <c r="Y233" s="872">
        <f t="shared" si="43"/>
        <v>112.44444444444514</v>
      </c>
      <c r="Z233" s="872">
        <f t="shared" si="43"/>
        <v>89.444444444444855</v>
      </c>
      <c r="AA233" s="872">
        <f t="shared" si="43"/>
        <v>99.666666666666174</v>
      </c>
      <c r="AB233" s="872">
        <f t="shared" si="43"/>
        <v>106.05555555555588</v>
      </c>
      <c r="AC233" s="872">
        <f t="shared" si="43"/>
        <v>83.055555555555145</v>
      </c>
      <c r="AD233" s="872">
        <f t="shared" si="43"/>
        <v>93.277777777777686</v>
      </c>
      <c r="AE233" s="872">
        <f t="shared" si="43"/>
        <v>99.666666666666174</v>
      </c>
      <c r="AF233" s="872">
        <f t="shared" si="43"/>
        <v>76.666666666667282</v>
      </c>
      <c r="AG233" s="872">
        <f t="shared" si="43"/>
        <v>86.8888888888889</v>
      </c>
      <c r="AH233" s="872">
        <f t="shared" si="41"/>
        <v>93.277777777777686</v>
      </c>
      <c r="AI233" s="872">
        <f t="shared" si="41"/>
        <v>70.277777777777573</v>
      </c>
      <c r="AJ233" s="872">
        <f t="shared" si="41"/>
        <v>80.500000000000739</v>
      </c>
      <c r="AK233" s="872">
        <f t="shared" si="41"/>
        <v>86.8888888888889</v>
      </c>
    </row>
    <row r="234" spans="1:37" ht="13.5" thickBot="1">
      <c r="A234" s="868"/>
      <c r="B234" s="868"/>
      <c r="C234" s="868"/>
      <c r="D234" s="873">
        <f t="shared" si="36"/>
        <v>0.64166666666666494</v>
      </c>
      <c r="E234" s="872">
        <f t="shared" si="42"/>
        <v>179.66666666666748</v>
      </c>
      <c r="F234" s="872">
        <f t="shared" si="42"/>
        <v>189.93333333333462</v>
      </c>
      <c r="G234" s="872">
        <f t="shared" si="42"/>
        <v>196.34999999999908</v>
      </c>
      <c r="H234" s="872">
        <f t="shared" si="42"/>
        <v>166.83333333333252</v>
      </c>
      <c r="I234" s="872">
        <f t="shared" si="42"/>
        <v>177.09999999999903</v>
      </c>
      <c r="J234" s="872">
        <f t="shared" si="42"/>
        <v>183.51666666666682</v>
      </c>
      <c r="K234" s="872">
        <f t="shared" si="42"/>
        <v>154.00000000000122</v>
      </c>
      <c r="L234" s="872">
        <f t="shared" si="42"/>
        <v>164.26666666666699</v>
      </c>
      <c r="M234" s="872">
        <f t="shared" si="42"/>
        <v>170.68333333333447</v>
      </c>
      <c r="N234" s="872">
        <f t="shared" si="42"/>
        <v>115.5</v>
      </c>
      <c r="O234" s="872">
        <f t="shared" si="42"/>
        <v>125.76666666666577</v>
      </c>
      <c r="P234" s="872">
        <f t="shared" si="42"/>
        <v>132.18333333333325</v>
      </c>
      <c r="Q234" s="872">
        <f t="shared" si="42"/>
        <v>109.08333333333252</v>
      </c>
      <c r="R234" s="872">
        <f t="shared" si="42"/>
        <v>119.34999999999853</v>
      </c>
      <c r="S234" s="872">
        <f t="shared" si="42"/>
        <v>125.76666666666577</v>
      </c>
      <c r="T234" s="872">
        <f t="shared" si="42"/>
        <v>102.66666666666586</v>
      </c>
      <c r="U234" s="872">
        <f t="shared" si="43"/>
        <v>112.93333333333403</v>
      </c>
      <c r="V234" s="872">
        <f t="shared" si="43"/>
        <v>119.34999999999853</v>
      </c>
      <c r="W234" s="872">
        <f t="shared" si="43"/>
        <v>96.250000000000128</v>
      </c>
      <c r="X234" s="872">
        <f t="shared" si="43"/>
        <v>106.51666666666699</v>
      </c>
      <c r="Y234" s="872">
        <f t="shared" si="43"/>
        <v>112.93333333333403</v>
      </c>
      <c r="Z234" s="872">
        <f t="shared" si="43"/>
        <v>89.833333333333741</v>
      </c>
      <c r="AA234" s="872">
        <f t="shared" si="43"/>
        <v>100.09999999999951</v>
      </c>
      <c r="AB234" s="872">
        <f t="shared" si="43"/>
        <v>106.51666666666699</v>
      </c>
      <c r="AC234" s="872">
        <f t="shared" si="43"/>
        <v>83.416666666666259</v>
      </c>
      <c r="AD234" s="872">
        <f t="shared" si="43"/>
        <v>93.683333333333238</v>
      </c>
      <c r="AE234" s="872">
        <f t="shared" si="43"/>
        <v>100.09999999999951</v>
      </c>
      <c r="AF234" s="872">
        <f t="shared" si="43"/>
        <v>77.000000000000611</v>
      </c>
      <c r="AG234" s="872">
        <f t="shared" si="43"/>
        <v>87.26666666666668</v>
      </c>
      <c r="AH234" s="872">
        <f t="shared" si="41"/>
        <v>93.683333333333238</v>
      </c>
      <c r="AI234" s="872">
        <f t="shared" si="41"/>
        <v>70.58333333333313</v>
      </c>
      <c r="AJ234" s="872">
        <f t="shared" si="41"/>
        <v>80.850000000000733</v>
      </c>
      <c r="AK234" s="872">
        <f t="shared" si="41"/>
        <v>87.26666666666668</v>
      </c>
    </row>
    <row r="235" spans="1:37" ht="13.5" thickBot="1">
      <c r="A235" s="868"/>
      <c r="B235" s="868"/>
      <c r="C235" s="868"/>
      <c r="D235" s="873">
        <f t="shared" si="36"/>
        <v>0.64444444444444271</v>
      </c>
      <c r="E235" s="872">
        <f t="shared" si="42"/>
        <v>180.44444444444525</v>
      </c>
      <c r="F235" s="872">
        <f t="shared" si="42"/>
        <v>190.75555555555684</v>
      </c>
      <c r="G235" s="872">
        <f t="shared" si="42"/>
        <v>197.19999999999908</v>
      </c>
      <c r="H235" s="872">
        <f t="shared" si="42"/>
        <v>167.55555555555475</v>
      </c>
      <c r="I235" s="872">
        <f t="shared" si="42"/>
        <v>177.86666666666571</v>
      </c>
      <c r="J235" s="872">
        <f t="shared" si="42"/>
        <v>184.31111111111127</v>
      </c>
      <c r="K235" s="872">
        <f t="shared" si="42"/>
        <v>154.66666666666788</v>
      </c>
      <c r="L235" s="872">
        <f t="shared" si="42"/>
        <v>164.9777777777781</v>
      </c>
      <c r="M235" s="872">
        <f t="shared" si="42"/>
        <v>171.42222222222335</v>
      </c>
      <c r="N235" s="872">
        <f t="shared" si="42"/>
        <v>116</v>
      </c>
      <c r="O235" s="872">
        <f t="shared" si="42"/>
        <v>126.31111111111022</v>
      </c>
      <c r="P235" s="872">
        <f t="shared" si="42"/>
        <v>132.75555555555547</v>
      </c>
      <c r="Q235" s="872">
        <f t="shared" si="42"/>
        <v>109.55555555555475</v>
      </c>
      <c r="R235" s="872">
        <f t="shared" si="42"/>
        <v>119.8666666666652</v>
      </c>
      <c r="S235" s="872">
        <f t="shared" si="42"/>
        <v>126.31111111111022</v>
      </c>
      <c r="T235" s="872">
        <f t="shared" si="42"/>
        <v>103.1111111111103</v>
      </c>
      <c r="U235" s="872">
        <f t="shared" si="43"/>
        <v>113.42222222222293</v>
      </c>
      <c r="V235" s="872">
        <f t="shared" si="43"/>
        <v>119.8666666666652</v>
      </c>
      <c r="W235" s="872">
        <f t="shared" si="43"/>
        <v>96.666666666666799</v>
      </c>
      <c r="X235" s="872">
        <f t="shared" si="43"/>
        <v>106.9777777777781</v>
      </c>
      <c r="Y235" s="872">
        <f t="shared" si="43"/>
        <v>113.42222222222293</v>
      </c>
      <c r="Z235" s="872">
        <f t="shared" si="43"/>
        <v>90.222222222222626</v>
      </c>
      <c r="AA235" s="872">
        <f t="shared" si="43"/>
        <v>100.53333333333285</v>
      </c>
      <c r="AB235" s="872">
        <f t="shared" si="43"/>
        <v>106.9777777777781</v>
      </c>
      <c r="AC235" s="872">
        <f t="shared" si="43"/>
        <v>83.777777777777374</v>
      </c>
      <c r="AD235" s="872">
        <f t="shared" si="43"/>
        <v>94.088888888888789</v>
      </c>
      <c r="AE235" s="872">
        <f t="shared" si="43"/>
        <v>100.53333333333285</v>
      </c>
      <c r="AF235" s="872">
        <f t="shared" si="43"/>
        <v>77.33333333333394</v>
      </c>
      <c r="AG235" s="872">
        <f t="shared" si="43"/>
        <v>87.64444444444446</v>
      </c>
      <c r="AH235" s="872">
        <f t="shared" si="41"/>
        <v>94.088888888888789</v>
      </c>
      <c r="AI235" s="872">
        <f t="shared" si="41"/>
        <v>70.888888888888687</v>
      </c>
      <c r="AJ235" s="872">
        <f t="shared" si="41"/>
        <v>81.200000000000728</v>
      </c>
      <c r="AK235" s="872">
        <f t="shared" si="41"/>
        <v>87.64444444444446</v>
      </c>
    </row>
    <row r="236" spans="1:37" ht="13.5" thickBot="1">
      <c r="A236" s="868"/>
      <c r="B236" s="868"/>
      <c r="C236" s="868"/>
      <c r="D236" s="873">
        <f t="shared" si="36"/>
        <v>0.64722222222222048</v>
      </c>
      <c r="E236" s="872">
        <f t="shared" si="42"/>
        <v>181.22222222222302</v>
      </c>
      <c r="F236" s="872">
        <f t="shared" si="42"/>
        <v>191.57777777777906</v>
      </c>
      <c r="G236" s="872">
        <f t="shared" si="42"/>
        <v>198.04999999999907</v>
      </c>
      <c r="H236" s="872">
        <f t="shared" si="42"/>
        <v>168.27777777777698</v>
      </c>
      <c r="I236" s="872">
        <f t="shared" si="42"/>
        <v>178.63333333333239</v>
      </c>
      <c r="J236" s="872">
        <f t="shared" si="42"/>
        <v>185.10555555555572</v>
      </c>
      <c r="K236" s="872">
        <f t="shared" si="42"/>
        <v>155.33333333333454</v>
      </c>
      <c r="L236" s="872">
        <f t="shared" si="42"/>
        <v>165.68888888888921</v>
      </c>
      <c r="M236" s="872">
        <f t="shared" si="42"/>
        <v>172.16111111111223</v>
      </c>
      <c r="N236" s="872">
        <f t="shared" si="42"/>
        <v>116.5</v>
      </c>
      <c r="O236" s="872">
        <f t="shared" si="42"/>
        <v>126.85555555555467</v>
      </c>
      <c r="P236" s="872">
        <f t="shared" si="42"/>
        <v>133.3277777777777</v>
      </c>
      <c r="Q236" s="872">
        <f t="shared" si="42"/>
        <v>110.02777777777698</v>
      </c>
      <c r="R236" s="872">
        <f t="shared" si="42"/>
        <v>120.38333333333186</v>
      </c>
      <c r="S236" s="872">
        <f t="shared" si="42"/>
        <v>126.85555555555467</v>
      </c>
      <c r="T236" s="872">
        <f t="shared" si="42"/>
        <v>103.55555555555475</v>
      </c>
      <c r="U236" s="872">
        <f t="shared" si="43"/>
        <v>113.91111111111182</v>
      </c>
      <c r="V236" s="872">
        <f t="shared" si="43"/>
        <v>120.38333333333186</v>
      </c>
      <c r="W236" s="872">
        <f t="shared" si="43"/>
        <v>97.083333333333471</v>
      </c>
      <c r="X236" s="872">
        <f t="shared" si="43"/>
        <v>107.43888888888921</v>
      </c>
      <c r="Y236" s="872">
        <f t="shared" si="43"/>
        <v>113.91111111111182</v>
      </c>
      <c r="Z236" s="872">
        <f t="shared" si="43"/>
        <v>90.611111111111512</v>
      </c>
      <c r="AA236" s="872">
        <f t="shared" si="43"/>
        <v>100.96666666666619</v>
      </c>
      <c r="AB236" s="872">
        <f t="shared" si="43"/>
        <v>107.43888888888921</v>
      </c>
      <c r="AC236" s="872">
        <f t="shared" si="43"/>
        <v>84.138888888888488</v>
      </c>
      <c r="AD236" s="872">
        <f t="shared" si="43"/>
        <v>94.494444444444341</v>
      </c>
      <c r="AE236" s="872">
        <f t="shared" si="43"/>
        <v>100.96666666666619</v>
      </c>
      <c r="AF236" s="872">
        <f t="shared" si="43"/>
        <v>77.666666666667268</v>
      </c>
      <c r="AG236" s="872">
        <f t="shared" si="43"/>
        <v>88.02222222222224</v>
      </c>
      <c r="AH236" s="872">
        <f t="shared" si="41"/>
        <v>94.494444444444341</v>
      </c>
      <c r="AI236" s="872">
        <f t="shared" si="41"/>
        <v>71.194444444444244</v>
      </c>
      <c r="AJ236" s="872">
        <f t="shared" si="41"/>
        <v>81.550000000000722</v>
      </c>
      <c r="AK236" s="872">
        <f t="shared" si="41"/>
        <v>88.02222222222224</v>
      </c>
    </row>
    <row r="237" spans="1:37" ht="13.5" thickBot="1">
      <c r="A237" s="868"/>
      <c r="B237" s="868"/>
      <c r="C237" s="868"/>
      <c r="D237" s="873">
        <f t="shared" si="36"/>
        <v>0.64999999999999825</v>
      </c>
      <c r="E237" s="872">
        <f t="shared" si="42"/>
        <v>182.0000000000008</v>
      </c>
      <c r="F237" s="872">
        <f t="shared" si="42"/>
        <v>192.40000000000128</v>
      </c>
      <c r="G237" s="872">
        <f t="shared" si="42"/>
        <v>198.89999999999907</v>
      </c>
      <c r="H237" s="872">
        <f t="shared" si="42"/>
        <v>168.9999999999992</v>
      </c>
      <c r="I237" s="872">
        <f t="shared" si="42"/>
        <v>179.39999999999907</v>
      </c>
      <c r="J237" s="872">
        <f t="shared" si="42"/>
        <v>185.90000000000018</v>
      </c>
      <c r="K237" s="872">
        <f t="shared" si="42"/>
        <v>156.00000000000119</v>
      </c>
      <c r="L237" s="872">
        <f t="shared" si="42"/>
        <v>166.40000000000032</v>
      </c>
      <c r="M237" s="872">
        <f t="shared" si="42"/>
        <v>172.90000000000111</v>
      </c>
      <c r="N237" s="872">
        <f t="shared" si="42"/>
        <v>117</v>
      </c>
      <c r="O237" s="872">
        <f t="shared" si="42"/>
        <v>127.39999999999912</v>
      </c>
      <c r="P237" s="872">
        <f t="shared" si="42"/>
        <v>133.89999999999992</v>
      </c>
      <c r="Q237" s="872">
        <f t="shared" si="42"/>
        <v>110.4999999999992</v>
      </c>
      <c r="R237" s="872">
        <f t="shared" si="42"/>
        <v>120.89999999999853</v>
      </c>
      <c r="S237" s="872">
        <f t="shared" si="42"/>
        <v>127.39999999999912</v>
      </c>
      <c r="T237" s="872">
        <f t="shared" si="42"/>
        <v>103.99999999999919</v>
      </c>
      <c r="U237" s="872">
        <f t="shared" si="43"/>
        <v>114.40000000000072</v>
      </c>
      <c r="V237" s="872">
        <f t="shared" si="43"/>
        <v>120.89999999999853</v>
      </c>
      <c r="W237" s="872">
        <f t="shared" si="43"/>
        <v>97.500000000000142</v>
      </c>
      <c r="X237" s="872">
        <f t="shared" si="43"/>
        <v>107.90000000000032</v>
      </c>
      <c r="Y237" s="872">
        <f t="shared" si="43"/>
        <v>114.40000000000072</v>
      </c>
      <c r="Z237" s="872">
        <f t="shared" si="43"/>
        <v>91.000000000000398</v>
      </c>
      <c r="AA237" s="872">
        <f t="shared" si="43"/>
        <v>101.39999999999952</v>
      </c>
      <c r="AB237" s="872">
        <f t="shared" si="43"/>
        <v>107.90000000000032</v>
      </c>
      <c r="AC237" s="872">
        <f t="shared" si="43"/>
        <v>84.499999999999602</v>
      </c>
      <c r="AD237" s="872">
        <f t="shared" si="43"/>
        <v>94.899999999999892</v>
      </c>
      <c r="AE237" s="872">
        <f t="shared" si="43"/>
        <v>101.39999999999952</v>
      </c>
      <c r="AF237" s="872">
        <f t="shared" si="43"/>
        <v>78.000000000000597</v>
      </c>
      <c r="AG237" s="872">
        <f t="shared" si="43"/>
        <v>88.40000000000002</v>
      </c>
      <c r="AH237" s="872">
        <f t="shared" si="41"/>
        <v>94.899999999999892</v>
      </c>
      <c r="AI237" s="872">
        <f t="shared" si="41"/>
        <v>71.499999999999801</v>
      </c>
      <c r="AJ237" s="872">
        <f t="shared" si="41"/>
        <v>81.900000000000716</v>
      </c>
      <c r="AK237" s="872">
        <f t="shared" si="41"/>
        <v>88.40000000000002</v>
      </c>
    </row>
    <row r="238" spans="1:37" ht="13.5" thickBot="1">
      <c r="A238" s="868"/>
      <c r="B238" s="868"/>
      <c r="C238" s="868"/>
      <c r="D238" s="873">
        <f t="shared" si="36"/>
        <v>0.65277777777777601</v>
      </c>
      <c r="E238" s="872">
        <f t="shared" si="42"/>
        <v>182.77777777777857</v>
      </c>
      <c r="F238" s="872">
        <f t="shared" si="42"/>
        <v>193.22222222222351</v>
      </c>
      <c r="G238" s="872">
        <f t="shared" si="42"/>
        <v>199.74999999999906</v>
      </c>
      <c r="H238" s="872">
        <f t="shared" si="42"/>
        <v>169.72222222222143</v>
      </c>
      <c r="I238" s="872">
        <f t="shared" si="42"/>
        <v>180.16666666666575</v>
      </c>
      <c r="J238" s="872">
        <f t="shared" si="42"/>
        <v>186.69444444444463</v>
      </c>
      <c r="K238" s="872">
        <f t="shared" si="42"/>
        <v>156.66666666666785</v>
      </c>
      <c r="L238" s="872">
        <f t="shared" si="42"/>
        <v>167.11111111111143</v>
      </c>
      <c r="M238" s="872">
        <f t="shared" si="42"/>
        <v>173.63888888888999</v>
      </c>
      <c r="N238" s="872">
        <f t="shared" si="42"/>
        <v>117.5</v>
      </c>
      <c r="O238" s="872">
        <f t="shared" si="42"/>
        <v>127.94444444444358</v>
      </c>
      <c r="P238" s="872">
        <f t="shared" si="42"/>
        <v>134.47222222222214</v>
      </c>
      <c r="Q238" s="872">
        <f t="shared" si="42"/>
        <v>110.97222222222143</v>
      </c>
      <c r="R238" s="872">
        <f t="shared" si="42"/>
        <v>121.41666666666519</v>
      </c>
      <c r="S238" s="872">
        <f t="shared" si="42"/>
        <v>127.94444444444358</v>
      </c>
      <c r="T238" s="872">
        <f t="shared" si="42"/>
        <v>104.44444444444363</v>
      </c>
      <c r="U238" s="872">
        <f t="shared" si="43"/>
        <v>114.88888888888961</v>
      </c>
      <c r="V238" s="872">
        <f t="shared" si="43"/>
        <v>121.41666666666519</v>
      </c>
      <c r="W238" s="872">
        <f t="shared" si="43"/>
        <v>97.916666666666814</v>
      </c>
      <c r="X238" s="872">
        <f t="shared" si="43"/>
        <v>108.36111111111143</v>
      </c>
      <c r="Y238" s="872">
        <f t="shared" si="43"/>
        <v>114.88888888888961</v>
      </c>
      <c r="Z238" s="872">
        <f t="shared" si="43"/>
        <v>91.388888888889284</v>
      </c>
      <c r="AA238" s="872">
        <f t="shared" si="43"/>
        <v>101.83333333333286</v>
      </c>
      <c r="AB238" s="872">
        <f t="shared" si="43"/>
        <v>108.36111111111143</v>
      </c>
      <c r="AC238" s="872">
        <f t="shared" si="43"/>
        <v>84.861111111110716</v>
      </c>
      <c r="AD238" s="872">
        <f t="shared" si="43"/>
        <v>95.305555555555443</v>
      </c>
      <c r="AE238" s="872">
        <f t="shared" si="43"/>
        <v>101.83333333333286</v>
      </c>
      <c r="AF238" s="872">
        <f t="shared" si="43"/>
        <v>78.333333333333925</v>
      </c>
      <c r="AG238" s="872">
        <f t="shared" si="43"/>
        <v>88.7777777777778</v>
      </c>
      <c r="AH238" s="872">
        <f t="shared" si="43"/>
        <v>95.305555555555443</v>
      </c>
      <c r="AI238" s="872">
        <f t="shared" si="43"/>
        <v>71.805555555555358</v>
      </c>
      <c r="AJ238" s="872">
        <f t="shared" si="43"/>
        <v>82.250000000000711</v>
      </c>
      <c r="AK238" s="872">
        <f t="shared" ref="AH238:AK271" si="44">AK239-(AK$363/360)</f>
        <v>88.7777777777778</v>
      </c>
    </row>
    <row r="239" spans="1:37" ht="13.5" thickBot="1">
      <c r="A239" s="868"/>
      <c r="B239" s="868"/>
      <c r="C239" s="868"/>
      <c r="D239" s="873">
        <f t="shared" si="36"/>
        <v>0.65555555555555378</v>
      </c>
      <c r="E239" s="872">
        <f t="shared" si="42"/>
        <v>183.55555555555634</v>
      </c>
      <c r="F239" s="872">
        <f t="shared" si="42"/>
        <v>194.04444444444573</v>
      </c>
      <c r="G239" s="872">
        <f t="shared" si="42"/>
        <v>200.59999999999906</v>
      </c>
      <c r="H239" s="872">
        <f t="shared" si="42"/>
        <v>170.44444444444366</v>
      </c>
      <c r="I239" s="872">
        <f t="shared" si="42"/>
        <v>180.93333333333243</v>
      </c>
      <c r="J239" s="872">
        <f t="shared" si="42"/>
        <v>187.48888888888908</v>
      </c>
      <c r="K239" s="872">
        <f t="shared" si="42"/>
        <v>157.33333333333451</v>
      </c>
      <c r="L239" s="872">
        <f t="shared" si="42"/>
        <v>167.82222222222254</v>
      </c>
      <c r="M239" s="872">
        <f t="shared" si="42"/>
        <v>174.37777777777887</v>
      </c>
      <c r="N239" s="872">
        <f t="shared" si="42"/>
        <v>118</v>
      </c>
      <c r="O239" s="872">
        <f t="shared" si="42"/>
        <v>128.48888888888803</v>
      </c>
      <c r="P239" s="872">
        <f t="shared" si="42"/>
        <v>135.04444444444437</v>
      </c>
      <c r="Q239" s="872">
        <f t="shared" si="42"/>
        <v>111.44444444444366</v>
      </c>
      <c r="R239" s="872">
        <f t="shared" si="42"/>
        <v>121.93333333333186</v>
      </c>
      <c r="S239" s="872">
        <f t="shared" si="42"/>
        <v>128.48888888888803</v>
      </c>
      <c r="T239" s="872">
        <f t="shared" si="42"/>
        <v>104.88888888888808</v>
      </c>
      <c r="U239" s="872">
        <f t="shared" si="43"/>
        <v>115.3777777777785</v>
      </c>
      <c r="V239" s="872">
        <f t="shared" si="43"/>
        <v>121.93333333333186</v>
      </c>
      <c r="W239" s="872">
        <f t="shared" si="43"/>
        <v>98.333333333333485</v>
      </c>
      <c r="X239" s="872">
        <f t="shared" si="43"/>
        <v>108.82222222222254</v>
      </c>
      <c r="Y239" s="872">
        <f t="shared" si="43"/>
        <v>115.3777777777785</v>
      </c>
      <c r="Z239" s="872">
        <f t="shared" si="43"/>
        <v>91.777777777778169</v>
      </c>
      <c r="AA239" s="872">
        <f t="shared" si="43"/>
        <v>102.2666666666662</v>
      </c>
      <c r="AB239" s="872">
        <f t="shared" si="43"/>
        <v>108.82222222222254</v>
      </c>
      <c r="AC239" s="872">
        <f t="shared" si="43"/>
        <v>85.222222222221831</v>
      </c>
      <c r="AD239" s="872">
        <f t="shared" si="43"/>
        <v>95.711111111110995</v>
      </c>
      <c r="AE239" s="872">
        <f t="shared" si="43"/>
        <v>102.2666666666662</v>
      </c>
      <c r="AF239" s="872">
        <f t="shared" si="43"/>
        <v>78.666666666667254</v>
      </c>
      <c r="AG239" s="872">
        <f t="shared" si="43"/>
        <v>89.15555555555558</v>
      </c>
      <c r="AH239" s="872">
        <f t="shared" si="44"/>
        <v>95.711111111110995</v>
      </c>
      <c r="AI239" s="872">
        <f t="shared" si="44"/>
        <v>72.111111111110915</v>
      </c>
      <c r="AJ239" s="872">
        <f t="shared" si="44"/>
        <v>82.600000000000705</v>
      </c>
      <c r="AK239" s="872">
        <f t="shared" si="44"/>
        <v>89.15555555555558</v>
      </c>
    </row>
    <row r="240" spans="1:37" ht="13.5" thickBot="1">
      <c r="A240" s="868"/>
      <c r="B240" s="868"/>
      <c r="C240" s="868"/>
      <c r="D240" s="873">
        <f t="shared" si="36"/>
        <v>0.65833333333333155</v>
      </c>
      <c r="E240" s="872">
        <f t="shared" si="42"/>
        <v>184.33333333333411</v>
      </c>
      <c r="F240" s="872">
        <f t="shared" si="42"/>
        <v>194.86666666666795</v>
      </c>
      <c r="G240" s="872">
        <f t="shared" si="42"/>
        <v>201.44999999999905</v>
      </c>
      <c r="H240" s="872">
        <f t="shared" si="42"/>
        <v>171.16666666666589</v>
      </c>
      <c r="I240" s="872">
        <f t="shared" si="42"/>
        <v>181.69999999999911</v>
      </c>
      <c r="J240" s="872">
        <f t="shared" si="42"/>
        <v>188.28333333333353</v>
      </c>
      <c r="K240" s="872">
        <f t="shared" si="42"/>
        <v>158.00000000000117</v>
      </c>
      <c r="L240" s="872">
        <f t="shared" si="42"/>
        <v>168.53333333333364</v>
      </c>
      <c r="M240" s="872">
        <f t="shared" si="42"/>
        <v>175.11666666666775</v>
      </c>
      <c r="N240" s="872">
        <f t="shared" si="42"/>
        <v>118.5</v>
      </c>
      <c r="O240" s="872">
        <f t="shared" si="42"/>
        <v>129.03333333333248</v>
      </c>
      <c r="P240" s="872">
        <f t="shared" si="42"/>
        <v>135.61666666666659</v>
      </c>
      <c r="Q240" s="872">
        <f t="shared" si="42"/>
        <v>111.91666666666589</v>
      </c>
      <c r="R240" s="872">
        <f t="shared" si="42"/>
        <v>122.44999999999852</v>
      </c>
      <c r="S240" s="872">
        <f t="shared" si="42"/>
        <v>129.03333333333248</v>
      </c>
      <c r="T240" s="872">
        <f t="shared" si="42"/>
        <v>105.33333333333252</v>
      </c>
      <c r="U240" s="872">
        <f t="shared" si="43"/>
        <v>115.8666666666674</v>
      </c>
      <c r="V240" s="872">
        <f t="shared" si="43"/>
        <v>122.44999999999852</v>
      </c>
      <c r="W240" s="872">
        <f t="shared" si="43"/>
        <v>98.750000000000156</v>
      </c>
      <c r="X240" s="872">
        <f t="shared" si="43"/>
        <v>109.28333333333364</v>
      </c>
      <c r="Y240" s="872">
        <f t="shared" si="43"/>
        <v>115.8666666666674</v>
      </c>
      <c r="Z240" s="872">
        <f t="shared" si="43"/>
        <v>92.166666666667055</v>
      </c>
      <c r="AA240" s="872">
        <f t="shared" si="43"/>
        <v>102.69999999999953</v>
      </c>
      <c r="AB240" s="872">
        <f t="shared" si="43"/>
        <v>109.28333333333364</v>
      </c>
      <c r="AC240" s="872">
        <f t="shared" si="43"/>
        <v>85.583333333332945</v>
      </c>
      <c r="AD240" s="872">
        <f t="shared" si="43"/>
        <v>96.116666666666546</v>
      </c>
      <c r="AE240" s="872">
        <f t="shared" si="43"/>
        <v>102.69999999999953</v>
      </c>
      <c r="AF240" s="872">
        <f t="shared" si="43"/>
        <v>79.000000000000583</v>
      </c>
      <c r="AG240" s="872">
        <f t="shared" si="43"/>
        <v>89.53333333333336</v>
      </c>
      <c r="AH240" s="872">
        <f t="shared" si="44"/>
        <v>96.116666666666546</v>
      </c>
      <c r="AI240" s="872">
        <f t="shared" si="44"/>
        <v>72.416666666666472</v>
      </c>
      <c r="AJ240" s="872">
        <f t="shared" si="44"/>
        <v>82.950000000000699</v>
      </c>
      <c r="AK240" s="872">
        <f t="shared" si="44"/>
        <v>89.53333333333336</v>
      </c>
    </row>
    <row r="241" spans="1:37" ht="13.5" thickBot="1">
      <c r="A241" s="868"/>
      <c r="B241" s="868"/>
      <c r="C241" s="868"/>
      <c r="D241" s="873">
        <f t="shared" si="36"/>
        <v>0.66111111111110932</v>
      </c>
      <c r="E241" s="872">
        <f t="shared" si="42"/>
        <v>185.11111111111188</v>
      </c>
      <c r="F241" s="872">
        <f t="shared" si="42"/>
        <v>195.68888888889018</v>
      </c>
      <c r="G241" s="872">
        <f t="shared" si="42"/>
        <v>202.29999999999905</v>
      </c>
      <c r="H241" s="872">
        <f t="shared" si="42"/>
        <v>171.88888888888812</v>
      </c>
      <c r="I241" s="872">
        <f t="shared" si="42"/>
        <v>182.46666666666579</v>
      </c>
      <c r="J241" s="872">
        <f t="shared" si="42"/>
        <v>189.07777777777798</v>
      </c>
      <c r="K241" s="872">
        <f t="shared" si="42"/>
        <v>158.66666666666782</v>
      </c>
      <c r="L241" s="872">
        <f t="shared" si="42"/>
        <v>169.24444444444475</v>
      </c>
      <c r="M241" s="872">
        <f t="shared" si="42"/>
        <v>175.85555555555663</v>
      </c>
      <c r="N241" s="872">
        <f t="shared" si="42"/>
        <v>119</v>
      </c>
      <c r="O241" s="872">
        <f t="shared" si="42"/>
        <v>129.57777777777693</v>
      </c>
      <c r="P241" s="872">
        <f t="shared" si="42"/>
        <v>136.18888888888881</v>
      </c>
      <c r="Q241" s="872">
        <f t="shared" si="42"/>
        <v>112.38888888888812</v>
      </c>
      <c r="R241" s="872">
        <f t="shared" si="42"/>
        <v>122.96666666666519</v>
      </c>
      <c r="S241" s="872">
        <f t="shared" si="42"/>
        <v>129.57777777777693</v>
      </c>
      <c r="T241" s="872">
        <f t="shared" si="42"/>
        <v>105.77777777777696</v>
      </c>
      <c r="U241" s="872">
        <f t="shared" si="43"/>
        <v>116.35555555555629</v>
      </c>
      <c r="V241" s="872">
        <f t="shared" si="43"/>
        <v>122.96666666666519</v>
      </c>
      <c r="W241" s="872">
        <f t="shared" si="43"/>
        <v>99.166666666666828</v>
      </c>
      <c r="X241" s="872">
        <f t="shared" si="43"/>
        <v>109.74444444444475</v>
      </c>
      <c r="Y241" s="872">
        <f t="shared" si="43"/>
        <v>116.35555555555629</v>
      </c>
      <c r="Z241" s="872">
        <f t="shared" si="43"/>
        <v>92.555555555555941</v>
      </c>
      <c r="AA241" s="872">
        <f t="shared" si="43"/>
        <v>103.13333333333287</v>
      </c>
      <c r="AB241" s="872">
        <f t="shared" si="43"/>
        <v>109.74444444444475</v>
      </c>
      <c r="AC241" s="872">
        <f t="shared" si="43"/>
        <v>85.944444444444059</v>
      </c>
      <c r="AD241" s="872">
        <f t="shared" si="43"/>
        <v>96.522222222222098</v>
      </c>
      <c r="AE241" s="872">
        <f t="shared" si="43"/>
        <v>103.13333333333287</v>
      </c>
      <c r="AF241" s="872">
        <f t="shared" si="43"/>
        <v>79.333333333333911</v>
      </c>
      <c r="AG241" s="872">
        <f t="shared" si="43"/>
        <v>89.91111111111114</v>
      </c>
      <c r="AH241" s="872">
        <f t="shared" si="44"/>
        <v>96.522222222222098</v>
      </c>
      <c r="AI241" s="872">
        <f t="shared" si="44"/>
        <v>72.72222222222203</v>
      </c>
      <c r="AJ241" s="872">
        <f t="shared" si="44"/>
        <v>83.300000000000693</v>
      </c>
      <c r="AK241" s="872">
        <f t="shared" si="44"/>
        <v>89.91111111111114</v>
      </c>
    </row>
    <row r="242" spans="1:37" ht="13.5" thickBot="1">
      <c r="A242" s="868"/>
      <c r="B242" s="868"/>
      <c r="C242" s="868"/>
      <c r="D242" s="873">
        <f t="shared" si="36"/>
        <v>0.66388888888888709</v>
      </c>
      <c r="E242" s="872">
        <f t="shared" si="42"/>
        <v>185.88888888888965</v>
      </c>
      <c r="F242" s="872">
        <f t="shared" si="42"/>
        <v>196.5111111111124</v>
      </c>
      <c r="G242" s="872">
        <f t="shared" si="42"/>
        <v>203.14999999999904</v>
      </c>
      <c r="H242" s="872">
        <f t="shared" si="42"/>
        <v>172.61111111111035</v>
      </c>
      <c r="I242" s="872">
        <f t="shared" si="42"/>
        <v>183.23333333333247</v>
      </c>
      <c r="J242" s="872">
        <f t="shared" si="42"/>
        <v>189.87222222222243</v>
      </c>
      <c r="K242" s="872">
        <f t="shared" si="42"/>
        <v>159.33333333333448</v>
      </c>
      <c r="L242" s="872">
        <f t="shared" si="42"/>
        <v>169.95555555555586</v>
      </c>
      <c r="M242" s="872">
        <f t="shared" si="42"/>
        <v>176.59444444444551</v>
      </c>
      <c r="N242" s="872">
        <f t="shared" si="42"/>
        <v>119.5</v>
      </c>
      <c r="O242" s="872">
        <f t="shared" si="42"/>
        <v>130.12222222222138</v>
      </c>
      <c r="P242" s="872">
        <f t="shared" si="42"/>
        <v>136.76111111111103</v>
      </c>
      <c r="Q242" s="872">
        <f t="shared" si="42"/>
        <v>112.86111111111035</v>
      </c>
      <c r="R242" s="872">
        <f t="shared" si="42"/>
        <v>123.48333333333186</v>
      </c>
      <c r="S242" s="872">
        <f t="shared" si="42"/>
        <v>130.12222222222138</v>
      </c>
      <c r="T242" s="872">
        <f t="shared" si="42"/>
        <v>106.2222222222214</v>
      </c>
      <c r="U242" s="872">
        <f t="shared" si="43"/>
        <v>116.84444444444519</v>
      </c>
      <c r="V242" s="872">
        <f t="shared" si="43"/>
        <v>123.48333333333186</v>
      </c>
      <c r="W242" s="872">
        <f t="shared" si="43"/>
        <v>99.583333333333499</v>
      </c>
      <c r="X242" s="872">
        <f t="shared" si="43"/>
        <v>110.20555555555586</v>
      </c>
      <c r="Y242" s="872">
        <f t="shared" si="43"/>
        <v>116.84444444444519</v>
      </c>
      <c r="Z242" s="872">
        <f t="shared" si="43"/>
        <v>92.944444444444827</v>
      </c>
      <c r="AA242" s="872">
        <f t="shared" si="43"/>
        <v>103.56666666666621</v>
      </c>
      <c r="AB242" s="872">
        <f t="shared" si="43"/>
        <v>110.20555555555586</v>
      </c>
      <c r="AC242" s="872">
        <f t="shared" si="43"/>
        <v>86.305555555555173</v>
      </c>
      <c r="AD242" s="872">
        <f t="shared" si="43"/>
        <v>96.927777777777649</v>
      </c>
      <c r="AE242" s="872">
        <f t="shared" si="43"/>
        <v>103.56666666666621</v>
      </c>
      <c r="AF242" s="872">
        <f t="shared" si="43"/>
        <v>79.66666666666724</v>
      </c>
      <c r="AG242" s="872">
        <f t="shared" si="43"/>
        <v>90.28888888888892</v>
      </c>
      <c r="AH242" s="872">
        <f t="shared" si="44"/>
        <v>96.927777777777649</v>
      </c>
      <c r="AI242" s="872">
        <f t="shared" si="44"/>
        <v>73.027777777777587</v>
      </c>
      <c r="AJ242" s="872">
        <f t="shared" si="44"/>
        <v>83.650000000000688</v>
      </c>
      <c r="AK242" s="872">
        <f t="shared" si="44"/>
        <v>90.28888888888892</v>
      </c>
    </row>
    <row r="243" spans="1:37" ht="13.5" thickBot="1">
      <c r="A243" s="868"/>
      <c r="B243" s="868"/>
      <c r="C243" s="868"/>
      <c r="D243" s="873">
        <f t="shared" si="36"/>
        <v>0.66666666666666485</v>
      </c>
      <c r="E243" s="872">
        <f t="shared" si="42"/>
        <v>186.66666666666742</v>
      </c>
      <c r="F243" s="872">
        <f t="shared" si="42"/>
        <v>197.33333333333462</v>
      </c>
      <c r="G243" s="872">
        <f t="shared" si="42"/>
        <v>203.99999999999903</v>
      </c>
      <c r="H243" s="872">
        <f t="shared" si="42"/>
        <v>173.33333333333258</v>
      </c>
      <c r="I243" s="872">
        <f t="shared" si="42"/>
        <v>183.99999999999915</v>
      </c>
      <c r="J243" s="872">
        <f t="shared" si="42"/>
        <v>190.66666666666688</v>
      </c>
      <c r="K243" s="872">
        <f t="shared" si="42"/>
        <v>160.00000000000114</v>
      </c>
      <c r="L243" s="872">
        <f t="shared" si="42"/>
        <v>170.66666666666697</v>
      </c>
      <c r="M243" s="872">
        <f t="shared" si="42"/>
        <v>177.33333333333439</v>
      </c>
      <c r="N243" s="872">
        <f t="shared" si="42"/>
        <v>120</v>
      </c>
      <c r="O243" s="872">
        <f t="shared" si="42"/>
        <v>130.66666666666583</v>
      </c>
      <c r="P243" s="872">
        <f t="shared" si="42"/>
        <v>137.33333333333326</v>
      </c>
      <c r="Q243" s="872">
        <f t="shared" si="42"/>
        <v>113.33333333333258</v>
      </c>
      <c r="R243" s="872">
        <f t="shared" si="42"/>
        <v>123.99999999999852</v>
      </c>
      <c r="S243" s="872">
        <f t="shared" si="42"/>
        <v>130.66666666666583</v>
      </c>
      <c r="T243" s="872">
        <f t="shared" si="42"/>
        <v>106.66666666666585</v>
      </c>
      <c r="U243" s="872">
        <f t="shared" si="43"/>
        <v>117.33333333333408</v>
      </c>
      <c r="V243" s="872">
        <f t="shared" si="43"/>
        <v>123.99999999999852</v>
      </c>
      <c r="W243" s="872">
        <f t="shared" si="43"/>
        <v>100.00000000000017</v>
      </c>
      <c r="X243" s="872">
        <f t="shared" si="43"/>
        <v>110.66666666666697</v>
      </c>
      <c r="Y243" s="872">
        <f t="shared" si="43"/>
        <v>117.33333333333408</v>
      </c>
      <c r="Z243" s="872">
        <f t="shared" si="43"/>
        <v>93.333333333333712</v>
      </c>
      <c r="AA243" s="872">
        <f t="shared" si="43"/>
        <v>103.99999999999955</v>
      </c>
      <c r="AB243" s="872">
        <f t="shared" si="43"/>
        <v>110.66666666666697</v>
      </c>
      <c r="AC243" s="872">
        <f t="shared" si="43"/>
        <v>86.666666666666288</v>
      </c>
      <c r="AD243" s="872">
        <f t="shared" si="43"/>
        <v>97.333333333333201</v>
      </c>
      <c r="AE243" s="872">
        <f t="shared" si="43"/>
        <v>103.99999999999955</v>
      </c>
      <c r="AF243" s="872">
        <f t="shared" si="43"/>
        <v>80.000000000000568</v>
      </c>
      <c r="AG243" s="872">
        <f t="shared" si="43"/>
        <v>90.6666666666667</v>
      </c>
      <c r="AH243" s="872">
        <f t="shared" si="44"/>
        <v>97.333333333333201</v>
      </c>
      <c r="AI243" s="872">
        <f t="shared" si="44"/>
        <v>73.333333333333144</v>
      </c>
      <c r="AJ243" s="872">
        <f t="shared" si="44"/>
        <v>84.000000000000682</v>
      </c>
      <c r="AK243" s="872">
        <f t="shared" si="44"/>
        <v>90.6666666666667</v>
      </c>
    </row>
    <row r="244" spans="1:37" ht="13.5" thickBot="1">
      <c r="A244" s="868"/>
      <c r="B244" s="868"/>
      <c r="C244" s="868"/>
      <c r="D244" s="873">
        <f t="shared" si="36"/>
        <v>0.66944444444444262</v>
      </c>
      <c r="E244" s="872">
        <f t="shared" si="42"/>
        <v>187.4444444444452</v>
      </c>
      <c r="F244" s="872">
        <f t="shared" si="42"/>
        <v>198.15555555555684</v>
      </c>
      <c r="G244" s="872">
        <f t="shared" si="42"/>
        <v>204.84999999999903</v>
      </c>
      <c r="H244" s="872">
        <f t="shared" si="42"/>
        <v>174.0555555555548</v>
      </c>
      <c r="I244" s="872">
        <f t="shared" si="42"/>
        <v>184.76666666666583</v>
      </c>
      <c r="J244" s="872">
        <f t="shared" si="42"/>
        <v>191.46111111111134</v>
      </c>
      <c r="K244" s="872">
        <f t="shared" si="42"/>
        <v>160.66666666666779</v>
      </c>
      <c r="L244" s="872">
        <f t="shared" si="42"/>
        <v>171.37777777777808</v>
      </c>
      <c r="M244" s="872">
        <f t="shared" si="42"/>
        <v>178.07222222222327</v>
      </c>
      <c r="N244" s="872">
        <f t="shared" si="42"/>
        <v>120.5</v>
      </c>
      <c r="O244" s="872">
        <f t="shared" si="42"/>
        <v>131.21111111111028</v>
      </c>
      <c r="P244" s="872">
        <f t="shared" si="42"/>
        <v>137.90555555555548</v>
      </c>
      <c r="Q244" s="872">
        <f t="shared" si="42"/>
        <v>113.8055555555548</v>
      </c>
      <c r="R244" s="872">
        <f t="shared" si="42"/>
        <v>124.51666666666519</v>
      </c>
      <c r="S244" s="872">
        <f t="shared" si="42"/>
        <v>131.21111111111028</v>
      </c>
      <c r="T244" s="872">
        <f t="shared" si="42"/>
        <v>107.11111111111029</v>
      </c>
      <c r="U244" s="872">
        <f t="shared" si="43"/>
        <v>117.82222222222298</v>
      </c>
      <c r="V244" s="872">
        <f t="shared" si="43"/>
        <v>124.51666666666519</v>
      </c>
      <c r="W244" s="872">
        <f t="shared" si="43"/>
        <v>100.41666666666684</v>
      </c>
      <c r="X244" s="872">
        <f t="shared" si="43"/>
        <v>111.12777777777808</v>
      </c>
      <c r="Y244" s="872">
        <f t="shared" si="43"/>
        <v>117.82222222222298</v>
      </c>
      <c r="Z244" s="872">
        <f t="shared" si="43"/>
        <v>93.722222222222598</v>
      </c>
      <c r="AA244" s="872">
        <f t="shared" si="43"/>
        <v>104.43333333333288</v>
      </c>
      <c r="AB244" s="872">
        <f t="shared" si="43"/>
        <v>111.12777777777808</v>
      </c>
      <c r="AC244" s="872">
        <f t="shared" si="43"/>
        <v>87.027777777777402</v>
      </c>
      <c r="AD244" s="872">
        <f t="shared" si="43"/>
        <v>97.738888888888752</v>
      </c>
      <c r="AE244" s="872">
        <f t="shared" si="43"/>
        <v>104.43333333333288</v>
      </c>
      <c r="AF244" s="872">
        <f t="shared" si="43"/>
        <v>80.333333333333897</v>
      </c>
      <c r="AG244" s="872">
        <f t="shared" si="43"/>
        <v>91.04444444444448</v>
      </c>
      <c r="AH244" s="872">
        <f t="shared" si="44"/>
        <v>97.738888888888752</v>
      </c>
      <c r="AI244" s="872">
        <f t="shared" si="44"/>
        <v>73.638888888888701</v>
      </c>
      <c r="AJ244" s="872">
        <f t="shared" si="44"/>
        <v>84.350000000000676</v>
      </c>
      <c r="AK244" s="872">
        <f t="shared" si="44"/>
        <v>91.04444444444448</v>
      </c>
    </row>
    <row r="245" spans="1:37" ht="13.5" thickBot="1">
      <c r="A245" s="868"/>
      <c r="B245" s="868"/>
      <c r="C245" s="868"/>
      <c r="D245" s="873">
        <f t="shared" si="36"/>
        <v>0.67222222222222039</v>
      </c>
      <c r="E245" s="872">
        <f t="shared" si="42"/>
        <v>188.22222222222297</v>
      </c>
      <c r="F245" s="872">
        <f t="shared" si="42"/>
        <v>198.97777777777907</v>
      </c>
      <c r="G245" s="872">
        <f t="shared" si="42"/>
        <v>205.69999999999902</v>
      </c>
      <c r="H245" s="872">
        <f t="shared" si="42"/>
        <v>174.77777777777703</v>
      </c>
      <c r="I245" s="872">
        <f t="shared" si="42"/>
        <v>185.53333333333251</v>
      </c>
      <c r="J245" s="872">
        <f t="shared" si="42"/>
        <v>192.25555555555579</v>
      </c>
      <c r="K245" s="872">
        <f t="shared" si="42"/>
        <v>161.33333333333445</v>
      </c>
      <c r="L245" s="872">
        <f t="shared" si="42"/>
        <v>172.08888888888919</v>
      </c>
      <c r="M245" s="872">
        <f t="shared" si="42"/>
        <v>178.81111111111215</v>
      </c>
      <c r="N245" s="872">
        <f t="shared" si="42"/>
        <v>121</v>
      </c>
      <c r="O245" s="872">
        <f t="shared" si="42"/>
        <v>131.75555555555474</v>
      </c>
      <c r="P245" s="872">
        <f t="shared" si="42"/>
        <v>138.4777777777777</v>
      </c>
      <c r="Q245" s="872">
        <f t="shared" si="42"/>
        <v>114.27777777777703</v>
      </c>
      <c r="R245" s="872">
        <f t="shared" si="42"/>
        <v>125.03333333333185</v>
      </c>
      <c r="S245" s="872">
        <f t="shared" si="42"/>
        <v>131.75555555555474</v>
      </c>
      <c r="T245" s="872">
        <f t="shared" si="42"/>
        <v>107.55555555555473</v>
      </c>
      <c r="U245" s="872">
        <f t="shared" si="43"/>
        <v>118.31111111111187</v>
      </c>
      <c r="V245" s="872">
        <f t="shared" si="43"/>
        <v>125.03333333333185</v>
      </c>
      <c r="W245" s="872">
        <f t="shared" si="43"/>
        <v>100.83333333333351</v>
      </c>
      <c r="X245" s="872">
        <f t="shared" si="43"/>
        <v>111.58888888888919</v>
      </c>
      <c r="Y245" s="872">
        <f t="shared" si="43"/>
        <v>118.31111111111187</v>
      </c>
      <c r="Z245" s="872">
        <f t="shared" si="43"/>
        <v>94.111111111111484</v>
      </c>
      <c r="AA245" s="872">
        <f t="shared" si="43"/>
        <v>104.86666666666622</v>
      </c>
      <c r="AB245" s="872">
        <f t="shared" si="43"/>
        <v>111.58888888888919</v>
      </c>
      <c r="AC245" s="872">
        <f t="shared" si="43"/>
        <v>87.388888888888516</v>
      </c>
      <c r="AD245" s="872">
        <f t="shared" si="43"/>
        <v>98.144444444444304</v>
      </c>
      <c r="AE245" s="872">
        <f t="shared" si="43"/>
        <v>104.86666666666622</v>
      </c>
      <c r="AF245" s="872">
        <f t="shared" si="43"/>
        <v>80.666666666667226</v>
      </c>
      <c r="AG245" s="872">
        <f t="shared" si="43"/>
        <v>91.42222222222226</v>
      </c>
      <c r="AH245" s="872">
        <f t="shared" si="44"/>
        <v>98.144444444444304</v>
      </c>
      <c r="AI245" s="872">
        <f t="shared" si="44"/>
        <v>73.944444444444258</v>
      </c>
      <c r="AJ245" s="872">
        <f t="shared" si="44"/>
        <v>84.700000000000671</v>
      </c>
      <c r="AK245" s="872">
        <f t="shared" si="44"/>
        <v>91.42222222222226</v>
      </c>
    </row>
    <row r="246" spans="1:37" ht="13.5" thickBot="1">
      <c r="A246" s="868"/>
      <c r="B246" s="868"/>
      <c r="C246" s="868"/>
      <c r="D246" s="873">
        <f t="shared" si="36"/>
        <v>0.67499999999999816</v>
      </c>
      <c r="E246" s="872">
        <f t="shared" si="42"/>
        <v>189.00000000000074</v>
      </c>
      <c r="F246" s="872">
        <f t="shared" si="42"/>
        <v>199.80000000000129</v>
      </c>
      <c r="G246" s="872">
        <f t="shared" si="42"/>
        <v>206.54999999999902</v>
      </c>
      <c r="H246" s="872">
        <f t="shared" si="42"/>
        <v>175.49999999999926</v>
      </c>
      <c r="I246" s="872">
        <f t="shared" si="42"/>
        <v>186.29999999999919</v>
      </c>
      <c r="J246" s="872">
        <f t="shared" si="42"/>
        <v>193.05000000000024</v>
      </c>
      <c r="K246" s="872">
        <f t="shared" si="42"/>
        <v>162.00000000000111</v>
      </c>
      <c r="L246" s="872">
        <f t="shared" si="42"/>
        <v>172.8000000000003</v>
      </c>
      <c r="M246" s="872">
        <f t="shared" si="42"/>
        <v>179.55000000000103</v>
      </c>
      <c r="N246" s="872">
        <f t="shared" si="42"/>
        <v>121.5</v>
      </c>
      <c r="O246" s="872">
        <f t="shared" si="42"/>
        <v>132.29999999999919</v>
      </c>
      <c r="P246" s="872">
        <f t="shared" si="42"/>
        <v>139.04999999999993</v>
      </c>
      <c r="Q246" s="872">
        <f t="shared" si="42"/>
        <v>114.74999999999926</v>
      </c>
      <c r="R246" s="872">
        <f t="shared" si="42"/>
        <v>125.54999999999852</v>
      </c>
      <c r="S246" s="872">
        <f t="shared" si="42"/>
        <v>132.29999999999919</v>
      </c>
      <c r="T246" s="872">
        <f t="shared" si="42"/>
        <v>107.99999999999918</v>
      </c>
      <c r="U246" s="872">
        <f t="shared" si="43"/>
        <v>118.80000000000076</v>
      </c>
      <c r="V246" s="872">
        <f t="shared" si="43"/>
        <v>125.54999999999852</v>
      </c>
      <c r="W246" s="872">
        <f t="shared" si="43"/>
        <v>101.25000000000018</v>
      </c>
      <c r="X246" s="872">
        <f t="shared" si="43"/>
        <v>112.0500000000003</v>
      </c>
      <c r="Y246" s="872">
        <f t="shared" si="43"/>
        <v>118.80000000000076</v>
      </c>
      <c r="Z246" s="872">
        <f t="shared" si="43"/>
        <v>94.500000000000369</v>
      </c>
      <c r="AA246" s="872">
        <f t="shared" si="43"/>
        <v>105.29999999999956</v>
      </c>
      <c r="AB246" s="872">
        <f t="shared" si="43"/>
        <v>112.0500000000003</v>
      </c>
      <c r="AC246" s="872">
        <f t="shared" si="43"/>
        <v>87.749999999999631</v>
      </c>
      <c r="AD246" s="872">
        <f t="shared" si="43"/>
        <v>98.549999999999855</v>
      </c>
      <c r="AE246" s="872">
        <f t="shared" si="43"/>
        <v>105.29999999999956</v>
      </c>
      <c r="AF246" s="872">
        <f t="shared" si="43"/>
        <v>81.000000000000554</v>
      </c>
      <c r="AG246" s="872">
        <f t="shared" si="43"/>
        <v>91.80000000000004</v>
      </c>
      <c r="AH246" s="872">
        <f t="shared" si="44"/>
        <v>98.549999999999855</v>
      </c>
      <c r="AI246" s="872">
        <f t="shared" si="44"/>
        <v>74.249999999999815</v>
      </c>
      <c r="AJ246" s="872">
        <f t="shared" si="44"/>
        <v>85.050000000000665</v>
      </c>
      <c r="AK246" s="872">
        <f t="shared" si="44"/>
        <v>91.80000000000004</v>
      </c>
    </row>
    <row r="247" spans="1:37" ht="13.5" thickBot="1">
      <c r="A247" s="868"/>
      <c r="B247" s="868"/>
      <c r="C247" s="868"/>
      <c r="D247" s="873">
        <f t="shared" si="36"/>
        <v>0.67777777777777592</v>
      </c>
      <c r="E247" s="872">
        <f t="shared" si="42"/>
        <v>189.77777777777851</v>
      </c>
      <c r="F247" s="872">
        <f t="shared" si="42"/>
        <v>200.62222222222351</v>
      </c>
      <c r="G247" s="872">
        <f t="shared" si="42"/>
        <v>207.39999999999901</v>
      </c>
      <c r="H247" s="872">
        <f t="shared" si="42"/>
        <v>176.22222222222149</v>
      </c>
      <c r="I247" s="872">
        <f t="shared" si="42"/>
        <v>187.06666666666587</v>
      </c>
      <c r="J247" s="872">
        <f t="shared" si="42"/>
        <v>193.84444444444469</v>
      </c>
      <c r="K247" s="872">
        <f t="shared" si="42"/>
        <v>162.66666666666777</v>
      </c>
      <c r="L247" s="872">
        <f t="shared" si="42"/>
        <v>173.5111111111114</v>
      </c>
      <c r="M247" s="872">
        <f t="shared" si="42"/>
        <v>180.28888888888991</v>
      </c>
      <c r="N247" s="872">
        <f t="shared" si="42"/>
        <v>122</v>
      </c>
      <c r="O247" s="872">
        <f t="shared" si="42"/>
        <v>132.84444444444364</v>
      </c>
      <c r="P247" s="872">
        <f t="shared" si="42"/>
        <v>139.62222222222215</v>
      </c>
      <c r="Q247" s="872">
        <f t="shared" si="42"/>
        <v>115.22222222222149</v>
      </c>
      <c r="R247" s="872">
        <f t="shared" si="42"/>
        <v>126.06666666666518</v>
      </c>
      <c r="S247" s="872">
        <f t="shared" si="42"/>
        <v>132.84444444444364</v>
      </c>
      <c r="T247" s="872">
        <f t="shared" si="42"/>
        <v>108.44444444444362</v>
      </c>
      <c r="U247" s="872">
        <f t="shared" si="43"/>
        <v>119.28888888888966</v>
      </c>
      <c r="V247" s="872">
        <f t="shared" si="43"/>
        <v>126.06666666666518</v>
      </c>
      <c r="W247" s="872">
        <f t="shared" si="43"/>
        <v>101.66666666666686</v>
      </c>
      <c r="X247" s="872">
        <f t="shared" si="43"/>
        <v>112.5111111111114</v>
      </c>
      <c r="Y247" s="872">
        <f t="shared" si="43"/>
        <v>119.28888888888966</v>
      </c>
      <c r="Z247" s="872">
        <f t="shared" si="43"/>
        <v>94.888888888889255</v>
      </c>
      <c r="AA247" s="872">
        <f t="shared" si="43"/>
        <v>105.73333333333289</v>
      </c>
      <c r="AB247" s="872">
        <f t="shared" si="43"/>
        <v>112.5111111111114</v>
      </c>
      <c r="AC247" s="872">
        <f t="shared" si="43"/>
        <v>88.111111111110745</v>
      </c>
      <c r="AD247" s="872">
        <f t="shared" si="43"/>
        <v>98.955555555555406</v>
      </c>
      <c r="AE247" s="872">
        <f t="shared" si="43"/>
        <v>105.73333333333289</v>
      </c>
      <c r="AF247" s="872">
        <f t="shared" si="43"/>
        <v>81.333333333333883</v>
      </c>
      <c r="AG247" s="872">
        <f t="shared" si="43"/>
        <v>92.17777777777782</v>
      </c>
      <c r="AH247" s="872">
        <f t="shared" si="44"/>
        <v>98.955555555555406</v>
      </c>
      <c r="AI247" s="872">
        <f t="shared" si="44"/>
        <v>74.555555555555372</v>
      </c>
      <c r="AJ247" s="872">
        <f t="shared" si="44"/>
        <v>85.400000000000659</v>
      </c>
      <c r="AK247" s="872">
        <f t="shared" si="44"/>
        <v>92.17777777777782</v>
      </c>
    </row>
    <row r="248" spans="1:37" ht="13.5" thickBot="1">
      <c r="A248" s="868"/>
      <c r="B248" s="868"/>
      <c r="C248" s="868"/>
      <c r="D248" s="873">
        <f t="shared" si="36"/>
        <v>0.68055555555555369</v>
      </c>
      <c r="E248" s="872">
        <f t="shared" si="42"/>
        <v>190.55555555555628</v>
      </c>
      <c r="F248" s="872">
        <f t="shared" si="42"/>
        <v>201.44444444444574</v>
      </c>
      <c r="G248" s="872">
        <f t="shared" si="42"/>
        <v>208.24999999999901</v>
      </c>
      <c r="H248" s="872">
        <f t="shared" si="42"/>
        <v>176.94444444444372</v>
      </c>
      <c r="I248" s="872">
        <f t="shared" si="42"/>
        <v>187.83333333333255</v>
      </c>
      <c r="J248" s="872">
        <f t="shared" si="42"/>
        <v>194.63888888888914</v>
      </c>
      <c r="K248" s="872">
        <f t="shared" si="42"/>
        <v>163.33333333333442</v>
      </c>
      <c r="L248" s="872">
        <f t="shared" si="42"/>
        <v>174.22222222222251</v>
      </c>
      <c r="M248" s="872">
        <f t="shared" si="42"/>
        <v>181.02777777777879</v>
      </c>
      <c r="N248" s="872">
        <f t="shared" si="42"/>
        <v>122.5</v>
      </c>
      <c r="O248" s="872">
        <f t="shared" si="42"/>
        <v>133.38888888888809</v>
      </c>
      <c r="P248" s="872">
        <f t="shared" si="42"/>
        <v>140.19444444444437</v>
      </c>
      <c r="Q248" s="872">
        <f t="shared" si="42"/>
        <v>115.69444444444372</v>
      </c>
      <c r="R248" s="872">
        <f t="shared" si="42"/>
        <v>126.58333333333185</v>
      </c>
      <c r="S248" s="872">
        <f t="shared" si="42"/>
        <v>133.38888888888809</v>
      </c>
      <c r="T248" s="872">
        <f t="shared" si="42"/>
        <v>108.88888888888806</v>
      </c>
      <c r="U248" s="872">
        <f t="shared" si="43"/>
        <v>119.77777777777855</v>
      </c>
      <c r="V248" s="872">
        <f t="shared" si="43"/>
        <v>126.58333333333185</v>
      </c>
      <c r="W248" s="872">
        <f t="shared" si="43"/>
        <v>102.08333333333353</v>
      </c>
      <c r="X248" s="872">
        <f t="shared" si="43"/>
        <v>112.97222222222251</v>
      </c>
      <c r="Y248" s="872">
        <f t="shared" si="43"/>
        <v>119.77777777777855</v>
      </c>
      <c r="Z248" s="872">
        <f t="shared" si="43"/>
        <v>95.277777777778141</v>
      </c>
      <c r="AA248" s="872">
        <f t="shared" si="43"/>
        <v>106.16666666666623</v>
      </c>
      <c r="AB248" s="872">
        <f t="shared" si="43"/>
        <v>112.97222222222251</v>
      </c>
      <c r="AC248" s="872">
        <f t="shared" si="43"/>
        <v>88.472222222221859</v>
      </c>
      <c r="AD248" s="872">
        <f t="shared" si="43"/>
        <v>99.361111111110958</v>
      </c>
      <c r="AE248" s="872">
        <f t="shared" si="43"/>
        <v>106.16666666666623</v>
      </c>
      <c r="AF248" s="872">
        <f t="shared" si="43"/>
        <v>81.666666666667211</v>
      </c>
      <c r="AG248" s="872">
        <f t="shared" si="43"/>
        <v>92.5555555555556</v>
      </c>
      <c r="AH248" s="872">
        <f t="shared" si="44"/>
        <v>99.361111111110958</v>
      </c>
      <c r="AI248" s="872">
        <f t="shared" si="44"/>
        <v>74.86111111111093</v>
      </c>
      <c r="AJ248" s="872">
        <f t="shared" si="44"/>
        <v>85.750000000000654</v>
      </c>
      <c r="AK248" s="872">
        <f t="shared" si="44"/>
        <v>92.5555555555556</v>
      </c>
    </row>
    <row r="249" spans="1:37" ht="13.5" thickBot="1">
      <c r="A249" s="868"/>
      <c r="B249" s="868"/>
      <c r="C249" s="868"/>
      <c r="D249" s="873">
        <f t="shared" si="36"/>
        <v>0.68333333333333146</v>
      </c>
      <c r="E249" s="872">
        <f t="shared" ref="E249:T265" si="45">E250-(E$363/360)</f>
        <v>191.33333333333405</v>
      </c>
      <c r="F249" s="872">
        <f t="shared" si="45"/>
        <v>202.26666666666796</v>
      </c>
      <c r="G249" s="872">
        <f t="shared" si="45"/>
        <v>209.099999999999</v>
      </c>
      <c r="H249" s="872">
        <f t="shared" si="45"/>
        <v>177.66666666666595</v>
      </c>
      <c r="I249" s="872">
        <f t="shared" si="45"/>
        <v>188.59999999999923</v>
      </c>
      <c r="J249" s="872">
        <f t="shared" si="45"/>
        <v>195.43333333333359</v>
      </c>
      <c r="K249" s="872">
        <f t="shared" si="45"/>
        <v>164.00000000000108</v>
      </c>
      <c r="L249" s="872">
        <f t="shared" si="45"/>
        <v>174.93333333333362</v>
      </c>
      <c r="M249" s="872">
        <f t="shared" si="45"/>
        <v>181.76666666666767</v>
      </c>
      <c r="N249" s="872">
        <f t="shared" si="45"/>
        <v>123</v>
      </c>
      <c r="O249" s="872">
        <f t="shared" si="45"/>
        <v>133.93333333333254</v>
      </c>
      <c r="P249" s="872">
        <f t="shared" si="45"/>
        <v>140.76666666666659</v>
      </c>
      <c r="Q249" s="872">
        <f t="shared" si="45"/>
        <v>116.16666666666595</v>
      </c>
      <c r="R249" s="872">
        <f t="shared" si="45"/>
        <v>127.09999999999852</v>
      </c>
      <c r="S249" s="872">
        <f t="shared" si="45"/>
        <v>133.93333333333254</v>
      </c>
      <c r="T249" s="872">
        <f t="shared" si="45"/>
        <v>109.3333333333325</v>
      </c>
      <c r="U249" s="872">
        <f t="shared" si="43"/>
        <v>120.26666666666745</v>
      </c>
      <c r="V249" s="872">
        <f t="shared" si="43"/>
        <v>127.09999999999852</v>
      </c>
      <c r="W249" s="872">
        <f t="shared" si="43"/>
        <v>102.5000000000002</v>
      </c>
      <c r="X249" s="872">
        <f t="shared" si="43"/>
        <v>113.43333333333362</v>
      </c>
      <c r="Y249" s="872">
        <f t="shared" si="43"/>
        <v>120.26666666666745</v>
      </c>
      <c r="Z249" s="872">
        <f t="shared" si="43"/>
        <v>95.666666666667027</v>
      </c>
      <c r="AA249" s="872">
        <f t="shared" si="43"/>
        <v>106.59999999999957</v>
      </c>
      <c r="AB249" s="872">
        <f t="shared" si="43"/>
        <v>113.43333333333362</v>
      </c>
      <c r="AC249" s="872">
        <f t="shared" si="43"/>
        <v>88.833333333332973</v>
      </c>
      <c r="AD249" s="872">
        <f t="shared" si="43"/>
        <v>99.766666666666509</v>
      </c>
      <c r="AE249" s="872">
        <f t="shared" si="43"/>
        <v>106.59999999999957</v>
      </c>
      <c r="AF249" s="872">
        <f t="shared" si="43"/>
        <v>82.00000000000054</v>
      </c>
      <c r="AG249" s="872">
        <f t="shared" si="43"/>
        <v>92.93333333333338</v>
      </c>
      <c r="AH249" s="872">
        <f t="shared" si="44"/>
        <v>99.766666666666509</v>
      </c>
      <c r="AI249" s="872">
        <f t="shared" si="44"/>
        <v>75.166666666666487</v>
      </c>
      <c r="AJ249" s="872">
        <f t="shared" si="44"/>
        <v>86.100000000000648</v>
      </c>
      <c r="AK249" s="872">
        <f t="shared" si="44"/>
        <v>92.93333333333338</v>
      </c>
    </row>
    <row r="250" spans="1:37" ht="13.5" thickBot="1">
      <c r="A250" s="868"/>
      <c r="B250" s="868"/>
      <c r="C250" s="868"/>
      <c r="D250" s="873">
        <f t="shared" si="36"/>
        <v>0.68611111111110923</v>
      </c>
      <c r="E250" s="872">
        <f t="shared" si="45"/>
        <v>192.11111111111182</v>
      </c>
      <c r="F250" s="872">
        <f t="shared" si="45"/>
        <v>203.08888888889018</v>
      </c>
      <c r="G250" s="872">
        <f t="shared" si="45"/>
        <v>209.94999999999899</v>
      </c>
      <c r="H250" s="872">
        <f t="shared" si="45"/>
        <v>178.38888888888818</v>
      </c>
      <c r="I250" s="872">
        <f t="shared" si="45"/>
        <v>189.36666666666591</v>
      </c>
      <c r="J250" s="872">
        <f t="shared" si="45"/>
        <v>196.22777777777804</v>
      </c>
      <c r="K250" s="872">
        <f t="shared" si="45"/>
        <v>164.66666666666774</v>
      </c>
      <c r="L250" s="872">
        <f t="shared" si="45"/>
        <v>175.64444444444473</v>
      </c>
      <c r="M250" s="872">
        <f t="shared" si="45"/>
        <v>182.50555555555655</v>
      </c>
      <c r="N250" s="872">
        <f t="shared" si="45"/>
        <v>123.5</v>
      </c>
      <c r="O250" s="872">
        <f t="shared" si="45"/>
        <v>134.47777777777699</v>
      </c>
      <c r="P250" s="872">
        <f t="shared" si="45"/>
        <v>141.33888888888882</v>
      </c>
      <c r="Q250" s="872">
        <f t="shared" si="45"/>
        <v>116.63888888888818</v>
      </c>
      <c r="R250" s="872">
        <f t="shared" si="45"/>
        <v>127.61666666666518</v>
      </c>
      <c r="S250" s="872">
        <f t="shared" si="45"/>
        <v>134.47777777777699</v>
      </c>
      <c r="T250" s="872">
        <f t="shared" si="45"/>
        <v>109.77777777777695</v>
      </c>
      <c r="U250" s="872">
        <f t="shared" si="43"/>
        <v>120.75555555555634</v>
      </c>
      <c r="V250" s="872">
        <f t="shared" si="43"/>
        <v>127.61666666666518</v>
      </c>
      <c r="W250" s="872">
        <f t="shared" si="43"/>
        <v>102.91666666666687</v>
      </c>
      <c r="X250" s="872">
        <f t="shared" si="43"/>
        <v>113.89444444444473</v>
      </c>
      <c r="Y250" s="872">
        <f t="shared" si="43"/>
        <v>120.75555555555634</v>
      </c>
      <c r="Z250" s="872">
        <f t="shared" si="43"/>
        <v>96.055555555555912</v>
      </c>
      <c r="AA250" s="872">
        <f t="shared" si="43"/>
        <v>107.03333333333291</v>
      </c>
      <c r="AB250" s="872">
        <f t="shared" si="43"/>
        <v>113.89444444444473</v>
      </c>
      <c r="AC250" s="872">
        <f t="shared" si="43"/>
        <v>89.194444444444088</v>
      </c>
      <c r="AD250" s="872">
        <f t="shared" si="43"/>
        <v>100.17222222222206</v>
      </c>
      <c r="AE250" s="872">
        <f t="shared" si="43"/>
        <v>107.03333333333291</v>
      </c>
      <c r="AF250" s="872">
        <f t="shared" si="43"/>
        <v>82.333333333333869</v>
      </c>
      <c r="AG250" s="872">
        <f t="shared" si="43"/>
        <v>93.31111111111116</v>
      </c>
      <c r="AH250" s="872">
        <f t="shared" si="44"/>
        <v>100.17222222222206</v>
      </c>
      <c r="AI250" s="872">
        <f t="shared" si="44"/>
        <v>75.472222222222044</v>
      </c>
      <c r="AJ250" s="872">
        <f t="shared" si="44"/>
        <v>86.450000000000642</v>
      </c>
      <c r="AK250" s="872">
        <f t="shared" si="44"/>
        <v>93.31111111111116</v>
      </c>
    </row>
    <row r="251" spans="1:37" ht="13.5" thickBot="1">
      <c r="A251" s="868"/>
      <c r="B251" s="868"/>
      <c r="C251" s="868"/>
      <c r="D251" s="873">
        <f t="shared" si="36"/>
        <v>0.688888888888887</v>
      </c>
      <c r="E251" s="872">
        <f t="shared" si="45"/>
        <v>192.8888888888896</v>
      </c>
      <c r="F251" s="872">
        <f t="shared" si="45"/>
        <v>203.9111111111124</v>
      </c>
      <c r="G251" s="872">
        <f t="shared" si="45"/>
        <v>210.79999999999899</v>
      </c>
      <c r="H251" s="872">
        <f t="shared" si="45"/>
        <v>179.1111111111104</v>
      </c>
      <c r="I251" s="872">
        <f t="shared" si="45"/>
        <v>190.13333333333259</v>
      </c>
      <c r="J251" s="872">
        <f t="shared" si="45"/>
        <v>197.0222222222225</v>
      </c>
      <c r="K251" s="872">
        <f t="shared" si="45"/>
        <v>165.33333333333439</v>
      </c>
      <c r="L251" s="872">
        <f t="shared" si="45"/>
        <v>176.35555555555584</v>
      </c>
      <c r="M251" s="872">
        <f t="shared" si="45"/>
        <v>183.24444444444543</v>
      </c>
      <c r="N251" s="872">
        <f t="shared" si="45"/>
        <v>124</v>
      </c>
      <c r="O251" s="872">
        <f t="shared" si="45"/>
        <v>135.02222222222144</v>
      </c>
      <c r="P251" s="872">
        <f t="shared" si="45"/>
        <v>141.91111111111104</v>
      </c>
      <c r="Q251" s="872">
        <f t="shared" si="45"/>
        <v>117.1111111111104</v>
      </c>
      <c r="R251" s="872">
        <f t="shared" si="45"/>
        <v>128.13333333333185</v>
      </c>
      <c r="S251" s="872">
        <f t="shared" si="45"/>
        <v>135.02222222222144</v>
      </c>
      <c r="T251" s="872">
        <f t="shared" si="45"/>
        <v>110.22222222222139</v>
      </c>
      <c r="U251" s="872">
        <f t="shared" si="43"/>
        <v>121.24444444444524</v>
      </c>
      <c r="V251" s="872">
        <f t="shared" si="43"/>
        <v>128.13333333333185</v>
      </c>
      <c r="W251" s="872">
        <f t="shared" si="43"/>
        <v>103.33333333333354</v>
      </c>
      <c r="X251" s="872">
        <f t="shared" si="43"/>
        <v>114.35555555555584</v>
      </c>
      <c r="Y251" s="872">
        <f t="shared" si="43"/>
        <v>121.24444444444524</v>
      </c>
      <c r="Z251" s="872">
        <f t="shared" si="43"/>
        <v>96.444444444444798</v>
      </c>
      <c r="AA251" s="872">
        <f t="shared" si="43"/>
        <v>107.46666666666624</v>
      </c>
      <c r="AB251" s="872">
        <f t="shared" si="43"/>
        <v>114.35555555555584</v>
      </c>
      <c r="AC251" s="872">
        <f t="shared" si="43"/>
        <v>89.555555555555202</v>
      </c>
      <c r="AD251" s="872">
        <f t="shared" si="43"/>
        <v>100.57777777777761</v>
      </c>
      <c r="AE251" s="872">
        <f t="shared" si="43"/>
        <v>107.46666666666624</v>
      </c>
      <c r="AF251" s="872">
        <f t="shared" si="43"/>
        <v>82.666666666667197</v>
      </c>
      <c r="AG251" s="872">
        <f t="shared" si="43"/>
        <v>93.68888888888894</v>
      </c>
      <c r="AH251" s="872">
        <f t="shared" si="44"/>
        <v>100.57777777777761</v>
      </c>
      <c r="AI251" s="872">
        <f t="shared" si="44"/>
        <v>75.777777777777601</v>
      </c>
      <c r="AJ251" s="872">
        <f t="shared" si="44"/>
        <v>86.800000000000637</v>
      </c>
      <c r="AK251" s="872">
        <f t="shared" si="44"/>
        <v>93.68888888888894</v>
      </c>
    </row>
    <row r="252" spans="1:37" ht="13.5" thickBot="1">
      <c r="A252" s="868"/>
      <c r="B252" s="868"/>
      <c r="C252" s="868"/>
      <c r="D252" s="873">
        <f t="shared" si="36"/>
        <v>0.69166666666666476</v>
      </c>
      <c r="E252" s="872">
        <f t="shared" si="45"/>
        <v>193.66666666666737</v>
      </c>
      <c r="F252" s="872">
        <f t="shared" si="45"/>
        <v>204.73333333333463</v>
      </c>
      <c r="G252" s="872">
        <f t="shared" si="45"/>
        <v>211.64999999999898</v>
      </c>
      <c r="H252" s="872">
        <f t="shared" si="45"/>
        <v>179.83333333333263</v>
      </c>
      <c r="I252" s="872">
        <f t="shared" si="45"/>
        <v>190.89999999999927</v>
      </c>
      <c r="J252" s="872">
        <f t="shared" si="45"/>
        <v>197.81666666666695</v>
      </c>
      <c r="K252" s="872">
        <f t="shared" si="45"/>
        <v>166.00000000000105</v>
      </c>
      <c r="L252" s="872">
        <f t="shared" si="45"/>
        <v>177.06666666666695</v>
      </c>
      <c r="M252" s="872">
        <f t="shared" si="45"/>
        <v>183.98333333333431</v>
      </c>
      <c r="N252" s="872">
        <f t="shared" si="45"/>
        <v>124.5</v>
      </c>
      <c r="O252" s="872">
        <f t="shared" si="45"/>
        <v>135.5666666666659</v>
      </c>
      <c r="P252" s="872">
        <f t="shared" si="45"/>
        <v>142.48333333333326</v>
      </c>
      <c r="Q252" s="872">
        <f t="shared" si="45"/>
        <v>117.58333333333263</v>
      </c>
      <c r="R252" s="872">
        <f t="shared" si="45"/>
        <v>128.64999999999853</v>
      </c>
      <c r="S252" s="872">
        <f t="shared" si="45"/>
        <v>135.5666666666659</v>
      </c>
      <c r="T252" s="872">
        <f t="shared" si="45"/>
        <v>110.66666666666583</v>
      </c>
      <c r="U252" s="872">
        <f t="shared" ref="R252:AG270" si="46">U253-(U$363/360)</f>
        <v>121.73333333333413</v>
      </c>
      <c r="V252" s="872">
        <f t="shared" si="46"/>
        <v>128.64999999999853</v>
      </c>
      <c r="W252" s="872">
        <f t="shared" si="46"/>
        <v>103.75000000000021</v>
      </c>
      <c r="X252" s="872">
        <f t="shared" si="46"/>
        <v>114.81666666666695</v>
      </c>
      <c r="Y252" s="872">
        <f t="shared" si="46"/>
        <v>121.73333333333413</v>
      </c>
      <c r="Z252" s="872">
        <f t="shared" si="46"/>
        <v>96.833333333333684</v>
      </c>
      <c r="AA252" s="872">
        <f t="shared" si="46"/>
        <v>107.89999999999958</v>
      </c>
      <c r="AB252" s="872">
        <f t="shared" si="46"/>
        <v>114.81666666666695</v>
      </c>
      <c r="AC252" s="872">
        <f t="shared" si="46"/>
        <v>89.916666666666316</v>
      </c>
      <c r="AD252" s="872">
        <f t="shared" si="46"/>
        <v>100.98333333333316</v>
      </c>
      <c r="AE252" s="872">
        <f t="shared" si="46"/>
        <v>107.89999999999958</v>
      </c>
      <c r="AF252" s="872">
        <f t="shared" si="46"/>
        <v>83.000000000000526</v>
      </c>
      <c r="AG252" s="872">
        <f t="shared" si="46"/>
        <v>94.06666666666672</v>
      </c>
      <c r="AH252" s="872">
        <f t="shared" si="44"/>
        <v>100.98333333333316</v>
      </c>
      <c r="AI252" s="872">
        <f t="shared" si="44"/>
        <v>76.083333333333158</v>
      </c>
      <c r="AJ252" s="872">
        <f t="shared" si="44"/>
        <v>87.150000000000631</v>
      </c>
      <c r="AK252" s="872">
        <f t="shared" si="44"/>
        <v>94.06666666666672</v>
      </c>
    </row>
    <row r="253" spans="1:37" ht="13.5" thickBot="1">
      <c r="A253" s="868"/>
      <c r="B253" s="868"/>
      <c r="C253" s="868"/>
      <c r="D253" s="873">
        <f t="shared" si="36"/>
        <v>0.69444444444444253</v>
      </c>
      <c r="E253" s="872">
        <f t="shared" si="45"/>
        <v>194.44444444444514</v>
      </c>
      <c r="F253" s="872">
        <f t="shared" si="45"/>
        <v>205.55555555555685</v>
      </c>
      <c r="G253" s="872">
        <f t="shared" si="45"/>
        <v>212.49999999999898</v>
      </c>
      <c r="H253" s="872">
        <f t="shared" si="45"/>
        <v>180.55555555555486</v>
      </c>
      <c r="I253" s="872">
        <f t="shared" si="45"/>
        <v>191.66666666666595</v>
      </c>
      <c r="J253" s="872">
        <f t="shared" si="45"/>
        <v>198.6111111111114</v>
      </c>
      <c r="K253" s="872">
        <f t="shared" si="45"/>
        <v>166.66666666666771</v>
      </c>
      <c r="L253" s="872">
        <f t="shared" si="45"/>
        <v>177.77777777777806</v>
      </c>
      <c r="M253" s="872">
        <f t="shared" si="45"/>
        <v>184.72222222222319</v>
      </c>
      <c r="N253" s="872">
        <f t="shared" si="45"/>
        <v>125</v>
      </c>
      <c r="O253" s="872">
        <f t="shared" si="45"/>
        <v>136.11111111111035</v>
      </c>
      <c r="P253" s="872">
        <f t="shared" si="45"/>
        <v>143.05555555555549</v>
      </c>
      <c r="Q253" s="872">
        <f t="shared" si="45"/>
        <v>118.05555555555486</v>
      </c>
      <c r="R253" s="872">
        <f t="shared" si="45"/>
        <v>129.16666666666521</v>
      </c>
      <c r="S253" s="872">
        <f t="shared" si="45"/>
        <v>136.11111111111035</v>
      </c>
      <c r="T253" s="872">
        <f t="shared" si="45"/>
        <v>111.11111111111028</v>
      </c>
      <c r="U253" s="872">
        <f t="shared" si="46"/>
        <v>122.22222222222302</v>
      </c>
      <c r="V253" s="872">
        <f t="shared" si="46"/>
        <v>129.16666666666521</v>
      </c>
      <c r="W253" s="872">
        <f t="shared" si="46"/>
        <v>104.16666666666688</v>
      </c>
      <c r="X253" s="872">
        <f t="shared" si="46"/>
        <v>115.27777777777806</v>
      </c>
      <c r="Y253" s="872">
        <f t="shared" si="46"/>
        <v>122.22222222222302</v>
      </c>
      <c r="Z253" s="872">
        <f t="shared" si="46"/>
        <v>97.22222222222257</v>
      </c>
      <c r="AA253" s="872">
        <f t="shared" si="46"/>
        <v>108.33333333333292</v>
      </c>
      <c r="AB253" s="872">
        <f t="shared" si="46"/>
        <v>115.27777777777806</v>
      </c>
      <c r="AC253" s="872">
        <f t="shared" si="46"/>
        <v>90.27777777777743</v>
      </c>
      <c r="AD253" s="872">
        <f t="shared" si="46"/>
        <v>101.38888888888872</v>
      </c>
      <c r="AE253" s="872">
        <f t="shared" si="46"/>
        <v>108.33333333333292</v>
      </c>
      <c r="AF253" s="872">
        <f t="shared" si="46"/>
        <v>83.333333333333854</v>
      </c>
      <c r="AG253" s="872">
        <f t="shared" si="46"/>
        <v>94.4444444444445</v>
      </c>
      <c r="AH253" s="872">
        <f t="shared" si="44"/>
        <v>101.38888888888872</v>
      </c>
      <c r="AI253" s="872">
        <f t="shared" si="44"/>
        <v>76.388888888888715</v>
      </c>
      <c r="AJ253" s="872">
        <f t="shared" si="44"/>
        <v>87.500000000000625</v>
      </c>
      <c r="AK253" s="872">
        <f t="shared" si="44"/>
        <v>94.4444444444445</v>
      </c>
    </row>
    <row r="254" spans="1:37" ht="13.5" thickBot="1">
      <c r="A254" s="868"/>
      <c r="B254" s="868"/>
      <c r="C254" s="868"/>
      <c r="D254" s="873">
        <f t="shared" si="36"/>
        <v>0.6972222222222203</v>
      </c>
      <c r="E254" s="872">
        <f t="shared" si="45"/>
        <v>195.22222222222291</v>
      </c>
      <c r="F254" s="872">
        <f t="shared" si="45"/>
        <v>206.37777777777907</v>
      </c>
      <c r="G254" s="872">
        <f t="shared" si="45"/>
        <v>213.34999999999897</v>
      </c>
      <c r="H254" s="872">
        <f t="shared" si="45"/>
        <v>181.27777777777709</v>
      </c>
      <c r="I254" s="872">
        <f t="shared" si="45"/>
        <v>192.43333333333263</v>
      </c>
      <c r="J254" s="872">
        <f t="shared" si="45"/>
        <v>199.40555555555585</v>
      </c>
      <c r="K254" s="872">
        <f t="shared" si="45"/>
        <v>167.33333333333437</v>
      </c>
      <c r="L254" s="872">
        <f t="shared" si="45"/>
        <v>178.48888888888916</v>
      </c>
      <c r="M254" s="872">
        <f t="shared" si="45"/>
        <v>185.46111111111207</v>
      </c>
      <c r="N254" s="872">
        <f t="shared" si="45"/>
        <v>125.5</v>
      </c>
      <c r="O254" s="872">
        <f t="shared" si="45"/>
        <v>136.6555555555548</v>
      </c>
      <c r="P254" s="872">
        <f t="shared" si="45"/>
        <v>143.62777777777771</v>
      </c>
      <c r="Q254" s="872">
        <f t="shared" si="45"/>
        <v>118.52777777777709</v>
      </c>
      <c r="R254" s="872">
        <f t="shared" si="45"/>
        <v>129.68333333333189</v>
      </c>
      <c r="S254" s="872">
        <f t="shared" si="45"/>
        <v>136.6555555555548</v>
      </c>
      <c r="T254" s="872">
        <f t="shared" si="45"/>
        <v>111.55555555555472</v>
      </c>
      <c r="U254" s="872">
        <f t="shared" si="46"/>
        <v>122.71111111111192</v>
      </c>
      <c r="V254" s="872">
        <f t="shared" si="46"/>
        <v>129.68333333333189</v>
      </c>
      <c r="W254" s="872">
        <f t="shared" si="46"/>
        <v>104.58333333333356</v>
      </c>
      <c r="X254" s="872">
        <f t="shared" si="46"/>
        <v>115.73888888888916</v>
      </c>
      <c r="Y254" s="872">
        <f t="shared" si="46"/>
        <v>122.71111111111192</v>
      </c>
      <c r="Z254" s="872">
        <f t="shared" si="46"/>
        <v>97.611111111111455</v>
      </c>
      <c r="AA254" s="872">
        <f t="shared" si="46"/>
        <v>108.76666666666625</v>
      </c>
      <c r="AB254" s="872">
        <f t="shared" si="46"/>
        <v>115.73888888888916</v>
      </c>
      <c r="AC254" s="872">
        <f t="shared" si="46"/>
        <v>90.638888888888545</v>
      </c>
      <c r="AD254" s="872">
        <f t="shared" si="46"/>
        <v>101.79444444444427</v>
      </c>
      <c r="AE254" s="872">
        <f t="shared" si="46"/>
        <v>108.76666666666625</v>
      </c>
      <c r="AF254" s="872">
        <f t="shared" si="46"/>
        <v>83.666666666667183</v>
      </c>
      <c r="AG254" s="872">
        <f t="shared" si="46"/>
        <v>94.82222222222228</v>
      </c>
      <c r="AH254" s="872">
        <f t="shared" si="44"/>
        <v>101.79444444444427</v>
      </c>
      <c r="AI254" s="872">
        <f t="shared" si="44"/>
        <v>76.694444444444272</v>
      </c>
      <c r="AJ254" s="872">
        <f t="shared" si="44"/>
        <v>87.85000000000062</v>
      </c>
      <c r="AK254" s="872">
        <f t="shared" si="44"/>
        <v>94.82222222222228</v>
      </c>
    </row>
    <row r="255" spans="1:37" ht="13.5" thickBot="1">
      <c r="A255" s="868"/>
      <c r="B255" s="868"/>
      <c r="C255" s="868"/>
      <c r="D255" s="873">
        <f t="shared" si="36"/>
        <v>0.69999999999999807</v>
      </c>
      <c r="E255" s="872">
        <f t="shared" si="45"/>
        <v>196.00000000000068</v>
      </c>
      <c r="F255" s="872">
        <f t="shared" si="45"/>
        <v>207.2000000000013</v>
      </c>
      <c r="G255" s="872">
        <f t="shared" si="45"/>
        <v>214.19999999999897</v>
      </c>
      <c r="H255" s="872">
        <f t="shared" si="45"/>
        <v>181.99999999999932</v>
      </c>
      <c r="I255" s="872">
        <f t="shared" si="45"/>
        <v>193.19999999999931</v>
      </c>
      <c r="J255" s="872">
        <f t="shared" si="45"/>
        <v>200.2000000000003</v>
      </c>
      <c r="K255" s="872">
        <f t="shared" si="45"/>
        <v>168.00000000000102</v>
      </c>
      <c r="L255" s="872">
        <f t="shared" si="45"/>
        <v>179.20000000000027</v>
      </c>
      <c r="M255" s="872">
        <f t="shared" si="45"/>
        <v>186.20000000000095</v>
      </c>
      <c r="N255" s="872">
        <f t="shared" si="45"/>
        <v>126</v>
      </c>
      <c r="O255" s="872">
        <f t="shared" si="45"/>
        <v>137.19999999999925</v>
      </c>
      <c r="P255" s="872">
        <f t="shared" si="45"/>
        <v>144.19999999999993</v>
      </c>
      <c r="Q255" s="872">
        <f t="shared" si="45"/>
        <v>118.99999999999932</v>
      </c>
      <c r="R255" s="872">
        <f t="shared" si="45"/>
        <v>130.19999999999857</v>
      </c>
      <c r="S255" s="872">
        <f t="shared" si="45"/>
        <v>137.19999999999925</v>
      </c>
      <c r="T255" s="872">
        <f t="shared" si="45"/>
        <v>111.99999999999916</v>
      </c>
      <c r="U255" s="872">
        <f t="shared" si="46"/>
        <v>123.20000000000081</v>
      </c>
      <c r="V255" s="872">
        <f t="shared" si="46"/>
        <v>130.19999999999857</v>
      </c>
      <c r="W255" s="872">
        <f t="shared" si="46"/>
        <v>105.00000000000023</v>
      </c>
      <c r="X255" s="872">
        <f t="shared" si="46"/>
        <v>116.20000000000027</v>
      </c>
      <c r="Y255" s="872">
        <f t="shared" si="46"/>
        <v>123.20000000000081</v>
      </c>
      <c r="Z255" s="872">
        <f t="shared" si="46"/>
        <v>98.000000000000341</v>
      </c>
      <c r="AA255" s="872">
        <f t="shared" si="46"/>
        <v>109.19999999999959</v>
      </c>
      <c r="AB255" s="872">
        <f t="shared" si="46"/>
        <v>116.20000000000027</v>
      </c>
      <c r="AC255" s="872">
        <f t="shared" si="46"/>
        <v>90.999999999999659</v>
      </c>
      <c r="AD255" s="872">
        <f t="shared" si="46"/>
        <v>102.19999999999982</v>
      </c>
      <c r="AE255" s="872">
        <f t="shared" si="46"/>
        <v>109.19999999999959</v>
      </c>
      <c r="AF255" s="872">
        <f t="shared" si="46"/>
        <v>84.000000000000512</v>
      </c>
      <c r="AG255" s="872">
        <f t="shared" si="46"/>
        <v>95.20000000000006</v>
      </c>
      <c r="AH255" s="872">
        <f t="shared" si="44"/>
        <v>102.19999999999982</v>
      </c>
      <c r="AI255" s="872">
        <f t="shared" si="44"/>
        <v>76.999999999999829</v>
      </c>
      <c r="AJ255" s="872">
        <f t="shared" si="44"/>
        <v>88.200000000000614</v>
      </c>
      <c r="AK255" s="872">
        <f t="shared" si="44"/>
        <v>95.20000000000006</v>
      </c>
    </row>
    <row r="256" spans="1:37" ht="13.5" thickBot="1">
      <c r="A256" s="868"/>
      <c r="B256" s="868"/>
      <c r="C256" s="868"/>
      <c r="D256" s="873">
        <f t="shared" si="36"/>
        <v>0.70277777777777584</v>
      </c>
      <c r="E256" s="872">
        <f t="shared" si="45"/>
        <v>196.77777777777845</v>
      </c>
      <c r="F256" s="872">
        <f t="shared" si="45"/>
        <v>208.02222222222352</v>
      </c>
      <c r="G256" s="872">
        <f t="shared" si="45"/>
        <v>215.04999999999896</v>
      </c>
      <c r="H256" s="872">
        <f t="shared" si="45"/>
        <v>182.72222222222155</v>
      </c>
      <c r="I256" s="872">
        <f t="shared" si="45"/>
        <v>193.96666666666599</v>
      </c>
      <c r="J256" s="872">
        <f t="shared" si="45"/>
        <v>200.99444444444475</v>
      </c>
      <c r="K256" s="872">
        <f t="shared" si="45"/>
        <v>168.66666666666768</v>
      </c>
      <c r="L256" s="872">
        <f t="shared" si="45"/>
        <v>179.91111111111138</v>
      </c>
      <c r="M256" s="872">
        <f t="shared" si="45"/>
        <v>186.93888888888984</v>
      </c>
      <c r="N256" s="872">
        <f t="shared" si="45"/>
        <v>126.5</v>
      </c>
      <c r="O256" s="872">
        <f t="shared" si="45"/>
        <v>137.7444444444437</v>
      </c>
      <c r="P256" s="872">
        <f t="shared" si="45"/>
        <v>144.77222222222215</v>
      </c>
      <c r="Q256" s="872">
        <f t="shared" si="45"/>
        <v>119.47222222222155</v>
      </c>
      <c r="R256" s="872">
        <f t="shared" si="45"/>
        <v>130.71666666666525</v>
      </c>
      <c r="S256" s="872">
        <f t="shared" si="45"/>
        <v>137.7444444444437</v>
      </c>
      <c r="T256" s="872">
        <f t="shared" si="45"/>
        <v>112.4444444444436</v>
      </c>
      <c r="U256" s="872">
        <f t="shared" si="46"/>
        <v>123.68888888888971</v>
      </c>
      <c r="V256" s="872">
        <f t="shared" si="46"/>
        <v>130.71666666666525</v>
      </c>
      <c r="W256" s="872">
        <f t="shared" si="46"/>
        <v>105.4166666666669</v>
      </c>
      <c r="X256" s="872">
        <f t="shared" si="46"/>
        <v>116.66111111111138</v>
      </c>
      <c r="Y256" s="872">
        <f t="shared" si="46"/>
        <v>123.68888888888971</v>
      </c>
      <c r="Z256" s="872">
        <f t="shared" si="46"/>
        <v>98.388888888889227</v>
      </c>
      <c r="AA256" s="872">
        <f t="shared" si="46"/>
        <v>109.63333333333293</v>
      </c>
      <c r="AB256" s="872">
        <f t="shared" si="46"/>
        <v>116.66111111111138</v>
      </c>
      <c r="AC256" s="872">
        <f t="shared" si="46"/>
        <v>91.361111111110773</v>
      </c>
      <c r="AD256" s="872">
        <f t="shared" si="46"/>
        <v>102.60555555555537</v>
      </c>
      <c r="AE256" s="872">
        <f t="shared" si="46"/>
        <v>109.63333333333293</v>
      </c>
      <c r="AF256" s="872">
        <f t="shared" si="46"/>
        <v>84.33333333333384</v>
      </c>
      <c r="AG256" s="872">
        <f t="shared" si="46"/>
        <v>95.57777777777784</v>
      </c>
      <c r="AH256" s="872">
        <f t="shared" si="44"/>
        <v>102.60555555555537</v>
      </c>
      <c r="AI256" s="872">
        <f t="shared" si="44"/>
        <v>77.305555555555387</v>
      </c>
      <c r="AJ256" s="872">
        <f t="shared" si="44"/>
        <v>88.550000000000608</v>
      </c>
      <c r="AK256" s="872">
        <f t="shared" si="44"/>
        <v>95.57777777777784</v>
      </c>
    </row>
    <row r="257" spans="1:37" ht="13.5" thickBot="1">
      <c r="A257" s="868"/>
      <c r="B257" s="868"/>
      <c r="C257" s="868"/>
      <c r="D257" s="873">
        <f t="shared" si="36"/>
        <v>0.7055555555555536</v>
      </c>
      <c r="E257" s="872">
        <f t="shared" si="45"/>
        <v>197.55555555555623</v>
      </c>
      <c r="F257" s="872">
        <f t="shared" si="45"/>
        <v>208.84444444444574</v>
      </c>
      <c r="G257" s="872">
        <f t="shared" si="45"/>
        <v>215.89999999999895</v>
      </c>
      <c r="H257" s="872">
        <f t="shared" si="45"/>
        <v>183.44444444444377</v>
      </c>
      <c r="I257" s="872">
        <f t="shared" si="45"/>
        <v>194.73333333333267</v>
      </c>
      <c r="J257" s="872">
        <f t="shared" si="45"/>
        <v>201.7888888888892</v>
      </c>
      <c r="K257" s="872">
        <f t="shared" si="45"/>
        <v>169.33333333333434</v>
      </c>
      <c r="L257" s="872">
        <f t="shared" si="45"/>
        <v>180.62222222222249</v>
      </c>
      <c r="M257" s="872">
        <f t="shared" si="45"/>
        <v>187.67777777777872</v>
      </c>
      <c r="N257" s="872">
        <f t="shared" si="45"/>
        <v>127</v>
      </c>
      <c r="O257" s="872">
        <f t="shared" si="45"/>
        <v>138.28888888888815</v>
      </c>
      <c r="P257" s="872">
        <f t="shared" si="45"/>
        <v>145.34444444444438</v>
      </c>
      <c r="Q257" s="872">
        <f t="shared" si="45"/>
        <v>119.94444444444377</v>
      </c>
      <c r="R257" s="872">
        <f t="shared" si="45"/>
        <v>131.23333333333193</v>
      </c>
      <c r="S257" s="872">
        <f t="shared" si="45"/>
        <v>138.28888888888815</v>
      </c>
      <c r="T257" s="872">
        <f t="shared" si="45"/>
        <v>112.88888888888805</v>
      </c>
      <c r="U257" s="872">
        <f t="shared" si="46"/>
        <v>124.1777777777786</v>
      </c>
      <c r="V257" s="872">
        <f t="shared" si="46"/>
        <v>131.23333333333193</v>
      </c>
      <c r="W257" s="872">
        <f t="shared" si="46"/>
        <v>105.83333333333357</v>
      </c>
      <c r="X257" s="872">
        <f t="shared" si="46"/>
        <v>117.12222222222249</v>
      </c>
      <c r="Y257" s="872">
        <f t="shared" si="46"/>
        <v>124.1777777777786</v>
      </c>
      <c r="Z257" s="872">
        <f t="shared" si="46"/>
        <v>98.777777777778113</v>
      </c>
      <c r="AA257" s="872">
        <f t="shared" si="46"/>
        <v>110.06666666666626</v>
      </c>
      <c r="AB257" s="872">
        <f t="shared" si="46"/>
        <v>117.12222222222249</v>
      </c>
      <c r="AC257" s="872">
        <f t="shared" si="46"/>
        <v>91.722222222221887</v>
      </c>
      <c r="AD257" s="872">
        <f t="shared" si="46"/>
        <v>103.01111111111092</v>
      </c>
      <c r="AE257" s="872">
        <f t="shared" si="46"/>
        <v>110.06666666666626</v>
      </c>
      <c r="AF257" s="872">
        <f t="shared" si="46"/>
        <v>84.666666666667169</v>
      </c>
      <c r="AG257" s="872">
        <f t="shared" si="46"/>
        <v>95.95555555555562</v>
      </c>
      <c r="AH257" s="872">
        <f t="shared" si="44"/>
        <v>103.01111111111092</v>
      </c>
      <c r="AI257" s="872">
        <f t="shared" si="44"/>
        <v>77.611111111110944</v>
      </c>
      <c r="AJ257" s="872">
        <f t="shared" si="44"/>
        <v>88.900000000000603</v>
      </c>
      <c r="AK257" s="872">
        <f t="shared" si="44"/>
        <v>95.95555555555562</v>
      </c>
    </row>
    <row r="258" spans="1:37" ht="13.5" thickBot="1">
      <c r="A258" s="868"/>
      <c r="B258" s="868"/>
      <c r="C258" s="868"/>
      <c r="D258" s="873">
        <f t="shared" si="36"/>
        <v>0.70833333333333137</v>
      </c>
      <c r="E258" s="872">
        <f t="shared" si="45"/>
        <v>198.333333333334</v>
      </c>
      <c r="F258" s="872">
        <f t="shared" si="45"/>
        <v>209.66666666666796</v>
      </c>
      <c r="G258" s="872">
        <f t="shared" si="45"/>
        <v>216.74999999999895</v>
      </c>
      <c r="H258" s="872">
        <f t="shared" si="45"/>
        <v>184.166666666666</v>
      </c>
      <c r="I258" s="872">
        <f t="shared" si="45"/>
        <v>195.49999999999935</v>
      </c>
      <c r="J258" s="872">
        <f t="shared" si="45"/>
        <v>202.58333333333366</v>
      </c>
      <c r="K258" s="872">
        <f t="shared" si="45"/>
        <v>170.00000000000099</v>
      </c>
      <c r="L258" s="872">
        <f t="shared" si="45"/>
        <v>181.3333333333336</v>
      </c>
      <c r="M258" s="872">
        <f t="shared" si="45"/>
        <v>188.4166666666676</v>
      </c>
      <c r="N258" s="872">
        <f t="shared" si="45"/>
        <v>127.5</v>
      </c>
      <c r="O258" s="872">
        <f t="shared" si="45"/>
        <v>138.8333333333326</v>
      </c>
      <c r="P258" s="872">
        <f t="shared" si="45"/>
        <v>145.9166666666666</v>
      </c>
      <c r="Q258" s="872">
        <f t="shared" si="45"/>
        <v>120.416666666666</v>
      </c>
      <c r="R258" s="872">
        <f t="shared" si="45"/>
        <v>131.74999999999861</v>
      </c>
      <c r="S258" s="872">
        <f t="shared" si="45"/>
        <v>138.8333333333326</v>
      </c>
      <c r="T258" s="872">
        <f t="shared" si="45"/>
        <v>113.33333333333249</v>
      </c>
      <c r="U258" s="872">
        <f t="shared" si="46"/>
        <v>124.6666666666675</v>
      </c>
      <c r="V258" s="872">
        <f t="shared" si="46"/>
        <v>131.74999999999861</v>
      </c>
      <c r="W258" s="872">
        <f t="shared" si="46"/>
        <v>106.25000000000024</v>
      </c>
      <c r="X258" s="872">
        <f t="shared" si="46"/>
        <v>117.5833333333336</v>
      </c>
      <c r="Y258" s="872">
        <f t="shared" si="46"/>
        <v>124.6666666666675</v>
      </c>
      <c r="Z258" s="872">
        <f t="shared" si="46"/>
        <v>99.166666666666998</v>
      </c>
      <c r="AA258" s="872">
        <f t="shared" si="46"/>
        <v>110.4999999999996</v>
      </c>
      <c r="AB258" s="872">
        <f t="shared" si="46"/>
        <v>117.5833333333336</v>
      </c>
      <c r="AC258" s="872">
        <f t="shared" si="46"/>
        <v>92.083333333333002</v>
      </c>
      <c r="AD258" s="872">
        <f t="shared" si="46"/>
        <v>103.41666666666647</v>
      </c>
      <c r="AE258" s="872">
        <f t="shared" si="46"/>
        <v>110.4999999999996</v>
      </c>
      <c r="AF258" s="872">
        <f t="shared" si="46"/>
        <v>85.000000000000497</v>
      </c>
      <c r="AG258" s="872">
        <f t="shared" si="46"/>
        <v>96.3333333333334</v>
      </c>
      <c r="AH258" s="872">
        <f t="shared" si="44"/>
        <v>103.41666666666647</v>
      </c>
      <c r="AI258" s="872">
        <f t="shared" si="44"/>
        <v>77.916666666666501</v>
      </c>
      <c r="AJ258" s="872">
        <f t="shared" si="44"/>
        <v>89.250000000000597</v>
      </c>
      <c r="AK258" s="872">
        <f t="shared" si="44"/>
        <v>96.3333333333334</v>
      </c>
    </row>
    <row r="259" spans="1:37" ht="13.5" thickBot="1">
      <c r="A259" s="868"/>
      <c r="B259" s="868"/>
      <c r="C259" s="868"/>
      <c r="D259" s="873">
        <f t="shared" si="36"/>
        <v>0.71111111111110914</v>
      </c>
      <c r="E259" s="872">
        <f t="shared" si="45"/>
        <v>199.11111111111177</v>
      </c>
      <c r="F259" s="872">
        <f t="shared" si="45"/>
        <v>210.48888888889019</v>
      </c>
      <c r="G259" s="872">
        <f t="shared" si="45"/>
        <v>217.59999999999894</v>
      </c>
      <c r="H259" s="872">
        <f t="shared" si="45"/>
        <v>184.88888888888823</v>
      </c>
      <c r="I259" s="872">
        <f t="shared" si="45"/>
        <v>196.26666666666603</v>
      </c>
      <c r="J259" s="872">
        <f t="shared" si="45"/>
        <v>203.37777777777811</v>
      </c>
      <c r="K259" s="872">
        <f t="shared" si="45"/>
        <v>170.66666666666765</v>
      </c>
      <c r="L259" s="872">
        <f t="shared" si="45"/>
        <v>182.04444444444471</v>
      </c>
      <c r="M259" s="872">
        <f t="shared" si="45"/>
        <v>189.15555555555648</v>
      </c>
      <c r="N259" s="872">
        <f t="shared" si="45"/>
        <v>128</v>
      </c>
      <c r="O259" s="872">
        <f t="shared" si="45"/>
        <v>139.37777777777706</v>
      </c>
      <c r="P259" s="872">
        <f t="shared" si="45"/>
        <v>146.48888888888882</v>
      </c>
      <c r="Q259" s="872">
        <f t="shared" si="45"/>
        <v>120.88888888888823</v>
      </c>
      <c r="R259" s="872">
        <f t="shared" si="46"/>
        <v>132.26666666666529</v>
      </c>
      <c r="S259" s="872">
        <f t="shared" si="46"/>
        <v>139.37777777777706</v>
      </c>
      <c r="T259" s="872">
        <f t="shared" si="46"/>
        <v>113.77777777777693</v>
      </c>
      <c r="U259" s="872">
        <f t="shared" si="46"/>
        <v>125.15555555555639</v>
      </c>
      <c r="V259" s="872">
        <f t="shared" si="46"/>
        <v>132.26666666666529</v>
      </c>
      <c r="W259" s="872">
        <f t="shared" si="46"/>
        <v>106.66666666666691</v>
      </c>
      <c r="X259" s="872">
        <f t="shared" si="46"/>
        <v>118.04444444444471</v>
      </c>
      <c r="Y259" s="872">
        <f t="shared" si="46"/>
        <v>125.15555555555639</v>
      </c>
      <c r="Z259" s="872">
        <f t="shared" si="46"/>
        <v>99.555555555555884</v>
      </c>
      <c r="AA259" s="872">
        <f t="shared" si="46"/>
        <v>110.93333333333294</v>
      </c>
      <c r="AB259" s="872">
        <f t="shared" si="46"/>
        <v>118.04444444444471</v>
      </c>
      <c r="AC259" s="872">
        <f t="shared" si="46"/>
        <v>92.444444444444116</v>
      </c>
      <c r="AD259" s="872">
        <f t="shared" si="46"/>
        <v>103.82222222222202</v>
      </c>
      <c r="AE259" s="872">
        <f t="shared" si="46"/>
        <v>110.93333333333294</v>
      </c>
      <c r="AF259" s="872">
        <f t="shared" si="46"/>
        <v>85.333333333333826</v>
      </c>
      <c r="AG259" s="872">
        <f t="shared" si="46"/>
        <v>96.71111111111118</v>
      </c>
      <c r="AH259" s="872">
        <f t="shared" si="44"/>
        <v>103.82222222222202</v>
      </c>
      <c r="AI259" s="872">
        <f t="shared" si="44"/>
        <v>78.222222222222058</v>
      </c>
      <c r="AJ259" s="872">
        <f t="shared" si="44"/>
        <v>89.600000000000591</v>
      </c>
      <c r="AK259" s="872">
        <f t="shared" si="44"/>
        <v>96.71111111111118</v>
      </c>
    </row>
    <row r="260" spans="1:37" ht="13.5" thickBot="1">
      <c r="A260" s="868"/>
      <c r="B260" s="868"/>
      <c r="C260" s="868"/>
      <c r="D260" s="873">
        <f t="shared" si="36"/>
        <v>0.71388888888888691</v>
      </c>
      <c r="E260" s="872">
        <f t="shared" si="45"/>
        <v>199.88888888888954</v>
      </c>
      <c r="F260" s="872">
        <f t="shared" si="45"/>
        <v>211.31111111111241</v>
      </c>
      <c r="G260" s="872">
        <f t="shared" si="45"/>
        <v>218.44999999999894</v>
      </c>
      <c r="H260" s="872">
        <f t="shared" si="45"/>
        <v>185.61111111111046</v>
      </c>
      <c r="I260" s="872">
        <f t="shared" si="45"/>
        <v>197.03333333333271</v>
      </c>
      <c r="J260" s="872">
        <f t="shared" si="45"/>
        <v>204.17222222222256</v>
      </c>
      <c r="K260" s="872">
        <f t="shared" si="45"/>
        <v>171.33333333333431</v>
      </c>
      <c r="L260" s="872">
        <f t="shared" si="45"/>
        <v>182.75555555555582</v>
      </c>
      <c r="M260" s="872">
        <f t="shared" si="45"/>
        <v>189.89444444444536</v>
      </c>
      <c r="N260" s="872">
        <f t="shared" si="45"/>
        <v>128.5</v>
      </c>
      <c r="O260" s="872">
        <f t="shared" si="45"/>
        <v>139.92222222222151</v>
      </c>
      <c r="P260" s="872">
        <f t="shared" si="45"/>
        <v>147.06111111111105</v>
      </c>
      <c r="Q260" s="872">
        <f t="shared" si="45"/>
        <v>121.36111111111046</v>
      </c>
      <c r="R260" s="872">
        <f t="shared" si="46"/>
        <v>132.78333333333197</v>
      </c>
      <c r="S260" s="872">
        <f t="shared" si="46"/>
        <v>139.92222222222151</v>
      </c>
      <c r="T260" s="872">
        <f t="shared" si="46"/>
        <v>114.22222222222138</v>
      </c>
      <c r="U260" s="872">
        <f t="shared" si="46"/>
        <v>125.64444444444528</v>
      </c>
      <c r="V260" s="872">
        <f t="shared" si="46"/>
        <v>132.78333333333197</v>
      </c>
      <c r="W260" s="872">
        <f t="shared" si="46"/>
        <v>107.08333333333358</v>
      </c>
      <c r="X260" s="872">
        <f t="shared" si="46"/>
        <v>118.50555555555582</v>
      </c>
      <c r="Y260" s="872">
        <f t="shared" si="46"/>
        <v>125.64444444444528</v>
      </c>
      <c r="Z260" s="872">
        <f t="shared" si="46"/>
        <v>99.94444444444477</v>
      </c>
      <c r="AA260" s="872">
        <f t="shared" si="46"/>
        <v>111.36666666666628</v>
      </c>
      <c r="AB260" s="872">
        <f t="shared" si="46"/>
        <v>118.50555555555582</v>
      </c>
      <c r="AC260" s="872">
        <f t="shared" si="46"/>
        <v>92.80555555555523</v>
      </c>
      <c r="AD260" s="872">
        <f t="shared" si="46"/>
        <v>104.22777777777758</v>
      </c>
      <c r="AE260" s="872">
        <f t="shared" si="46"/>
        <v>111.36666666666628</v>
      </c>
      <c r="AF260" s="872">
        <f t="shared" si="46"/>
        <v>85.666666666667155</v>
      </c>
      <c r="AG260" s="872">
        <f t="shared" si="46"/>
        <v>97.08888888888896</v>
      </c>
      <c r="AH260" s="872">
        <f t="shared" si="44"/>
        <v>104.22777777777758</v>
      </c>
      <c r="AI260" s="872">
        <f t="shared" si="44"/>
        <v>78.527777777777615</v>
      </c>
      <c r="AJ260" s="872">
        <f t="shared" si="44"/>
        <v>89.950000000000585</v>
      </c>
      <c r="AK260" s="872">
        <f t="shared" si="44"/>
        <v>97.08888888888896</v>
      </c>
    </row>
    <row r="261" spans="1:37" ht="13.5" thickBot="1">
      <c r="A261" s="868"/>
      <c r="B261" s="868"/>
      <c r="C261" s="868"/>
      <c r="D261" s="873">
        <f t="shared" ref="D261:D324" si="47">D260+0.2/72</f>
        <v>0.71666666666666468</v>
      </c>
      <c r="E261" s="872">
        <f t="shared" si="45"/>
        <v>200.66666666666731</v>
      </c>
      <c r="F261" s="872">
        <f t="shared" si="45"/>
        <v>212.13333333333463</v>
      </c>
      <c r="G261" s="872">
        <f t="shared" si="45"/>
        <v>219.29999999999893</v>
      </c>
      <c r="H261" s="872">
        <f t="shared" si="45"/>
        <v>186.33333333333269</v>
      </c>
      <c r="I261" s="872">
        <f t="shared" si="45"/>
        <v>197.79999999999939</v>
      </c>
      <c r="J261" s="872">
        <f t="shared" si="45"/>
        <v>204.96666666666701</v>
      </c>
      <c r="K261" s="872">
        <f t="shared" si="45"/>
        <v>172.00000000000097</v>
      </c>
      <c r="L261" s="872">
        <f t="shared" si="45"/>
        <v>183.46666666666692</v>
      </c>
      <c r="M261" s="872">
        <f t="shared" si="45"/>
        <v>190.63333333333424</v>
      </c>
      <c r="N261" s="872">
        <f t="shared" si="45"/>
        <v>129</v>
      </c>
      <c r="O261" s="872">
        <f t="shared" si="45"/>
        <v>140.46666666666596</v>
      </c>
      <c r="P261" s="872">
        <f t="shared" si="45"/>
        <v>147.63333333333327</v>
      </c>
      <c r="Q261" s="872">
        <f t="shared" si="45"/>
        <v>121.83333333333269</v>
      </c>
      <c r="R261" s="872">
        <f t="shared" si="46"/>
        <v>133.29999999999865</v>
      </c>
      <c r="S261" s="872">
        <f t="shared" si="46"/>
        <v>140.46666666666596</v>
      </c>
      <c r="T261" s="872">
        <f t="shared" si="46"/>
        <v>114.66666666666582</v>
      </c>
      <c r="U261" s="872">
        <f t="shared" si="46"/>
        <v>126.13333333333418</v>
      </c>
      <c r="V261" s="872">
        <f t="shared" si="46"/>
        <v>133.29999999999865</v>
      </c>
      <c r="W261" s="872">
        <f t="shared" si="46"/>
        <v>107.50000000000026</v>
      </c>
      <c r="X261" s="872">
        <f t="shared" si="46"/>
        <v>118.96666666666692</v>
      </c>
      <c r="Y261" s="872">
        <f t="shared" si="46"/>
        <v>126.13333333333418</v>
      </c>
      <c r="Z261" s="872">
        <f t="shared" si="46"/>
        <v>100.33333333333366</v>
      </c>
      <c r="AA261" s="872">
        <f t="shared" si="46"/>
        <v>111.79999999999961</v>
      </c>
      <c r="AB261" s="872">
        <f t="shared" si="46"/>
        <v>118.96666666666692</v>
      </c>
      <c r="AC261" s="872">
        <f t="shared" si="46"/>
        <v>93.166666666666345</v>
      </c>
      <c r="AD261" s="872">
        <f t="shared" si="46"/>
        <v>104.63333333333313</v>
      </c>
      <c r="AE261" s="872">
        <f t="shared" si="46"/>
        <v>111.79999999999961</v>
      </c>
      <c r="AF261" s="872">
        <f t="shared" si="46"/>
        <v>86.000000000000483</v>
      </c>
      <c r="AG261" s="872">
        <f t="shared" si="46"/>
        <v>97.46666666666674</v>
      </c>
      <c r="AH261" s="872">
        <f t="shared" si="44"/>
        <v>104.63333333333313</v>
      </c>
      <c r="AI261" s="872">
        <f t="shared" si="44"/>
        <v>78.833333333333172</v>
      </c>
      <c r="AJ261" s="872">
        <f t="shared" si="44"/>
        <v>90.30000000000058</v>
      </c>
      <c r="AK261" s="872">
        <f t="shared" si="44"/>
        <v>97.46666666666674</v>
      </c>
    </row>
    <row r="262" spans="1:37" ht="13.5" thickBot="1">
      <c r="A262" s="868"/>
      <c r="B262" s="868"/>
      <c r="C262" s="868"/>
      <c r="D262" s="873">
        <f t="shared" si="47"/>
        <v>0.71944444444444244</v>
      </c>
      <c r="E262" s="872">
        <f t="shared" si="45"/>
        <v>201.44444444444508</v>
      </c>
      <c r="F262" s="872">
        <f t="shared" si="45"/>
        <v>212.95555555555686</v>
      </c>
      <c r="G262" s="872">
        <f t="shared" si="45"/>
        <v>220.14999999999893</v>
      </c>
      <c r="H262" s="872">
        <f t="shared" si="45"/>
        <v>187.05555555555492</v>
      </c>
      <c r="I262" s="872">
        <f t="shared" si="45"/>
        <v>198.56666666666607</v>
      </c>
      <c r="J262" s="872">
        <f t="shared" si="45"/>
        <v>205.76111111111146</v>
      </c>
      <c r="K262" s="872">
        <f t="shared" si="45"/>
        <v>172.66666666666762</v>
      </c>
      <c r="L262" s="872">
        <f t="shared" si="45"/>
        <v>184.17777777777803</v>
      </c>
      <c r="M262" s="872">
        <f t="shared" si="45"/>
        <v>191.37222222222312</v>
      </c>
      <c r="N262" s="872">
        <f t="shared" si="45"/>
        <v>129.5</v>
      </c>
      <c r="O262" s="872">
        <f t="shared" si="45"/>
        <v>141.01111111111041</v>
      </c>
      <c r="P262" s="872">
        <f t="shared" si="45"/>
        <v>148.20555555555549</v>
      </c>
      <c r="Q262" s="872">
        <f t="shared" si="45"/>
        <v>122.30555555555492</v>
      </c>
      <c r="R262" s="872">
        <f t="shared" si="45"/>
        <v>133.81666666666533</v>
      </c>
      <c r="S262" s="872">
        <f t="shared" si="45"/>
        <v>141.01111111111041</v>
      </c>
      <c r="T262" s="872">
        <f t="shared" si="45"/>
        <v>115.11111111111026</v>
      </c>
      <c r="U262" s="872">
        <f t="shared" si="46"/>
        <v>126.62222222222307</v>
      </c>
      <c r="V262" s="872">
        <f t="shared" si="46"/>
        <v>133.81666666666533</v>
      </c>
      <c r="W262" s="872">
        <f t="shared" si="46"/>
        <v>107.91666666666693</v>
      </c>
      <c r="X262" s="872">
        <f t="shared" si="46"/>
        <v>119.42777777777803</v>
      </c>
      <c r="Y262" s="872">
        <f t="shared" si="46"/>
        <v>126.62222222222307</v>
      </c>
      <c r="Z262" s="872">
        <f t="shared" si="46"/>
        <v>100.72222222222254</v>
      </c>
      <c r="AA262" s="872">
        <f t="shared" si="46"/>
        <v>112.23333333333295</v>
      </c>
      <c r="AB262" s="872">
        <f t="shared" si="46"/>
        <v>119.42777777777803</v>
      </c>
      <c r="AC262" s="872">
        <f t="shared" si="46"/>
        <v>93.527777777777459</v>
      </c>
      <c r="AD262" s="872">
        <f t="shared" si="46"/>
        <v>105.03888888888868</v>
      </c>
      <c r="AE262" s="872">
        <f t="shared" si="46"/>
        <v>112.23333333333295</v>
      </c>
      <c r="AF262" s="872">
        <f t="shared" si="46"/>
        <v>86.333333333333812</v>
      </c>
      <c r="AG262" s="872">
        <f t="shared" si="46"/>
        <v>97.84444444444452</v>
      </c>
      <c r="AH262" s="872">
        <f t="shared" si="44"/>
        <v>105.03888888888868</v>
      </c>
      <c r="AI262" s="872">
        <f t="shared" si="44"/>
        <v>79.138888888888729</v>
      </c>
      <c r="AJ262" s="872">
        <f t="shared" si="44"/>
        <v>90.650000000000574</v>
      </c>
      <c r="AK262" s="872">
        <f t="shared" si="44"/>
        <v>97.84444444444452</v>
      </c>
    </row>
    <row r="263" spans="1:37" ht="13.5" thickBot="1">
      <c r="A263" s="868"/>
      <c r="B263" s="868"/>
      <c r="C263" s="868"/>
      <c r="D263" s="873">
        <f t="shared" si="47"/>
        <v>0.72222222222222021</v>
      </c>
      <c r="E263" s="872">
        <f t="shared" si="45"/>
        <v>202.22222222222285</v>
      </c>
      <c r="F263" s="872">
        <f t="shared" si="45"/>
        <v>213.77777777777908</v>
      </c>
      <c r="G263" s="872">
        <f t="shared" si="45"/>
        <v>220.99999999999892</v>
      </c>
      <c r="H263" s="872">
        <f t="shared" si="45"/>
        <v>187.77777777777715</v>
      </c>
      <c r="I263" s="872">
        <f t="shared" si="45"/>
        <v>199.33333333333275</v>
      </c>
      <c r="J263" s="872">
        <f t="shared" si="45"/>
        <v>206.55555555555591</v>
      </c>
      <c r="K263" s="872">
        <f t="shared" si="45"/>
        <v>173.33333333333428</v>
      </c>
      <c r="L263" s="872">
        <f t="shared" si="45"/>
        <v>184.88888888888914</v>
      </c>
      <c r="M263" s="872">
        <f t="shared" si="45"/>
        <v>192.111111111112</v>
      </c>
      <c r="N263" s="872">
        <f t="shared" si="45"/>
        <v>130</v>
      </c>
      <c r="O263" s="872">
        <f t="shared" si="45"/>
        <v>141.55555555555486</v>
      </c>
      <c r="P263" s="872">
        <f t="shared" si="45"/>
        <v>148.77777777777771</v>
      </c>
      <c r="Q263" s="872">
        <f t="shared" si="45"/>
        <v>122.77777777777715</v>
      </c>
      <c r="R263" s="872">
        <f t="shared" si="45"/>
        <v>134.33333333333201</v>
      </c>
      <c r="S263" s="872">
        <f t="shared" si="45"/>
        <v>141.55555555555486</v>
      </c>
      <c r="T263" s="872">
        <f t="shared" si="45"/>
        <v>115.5555555555547</v>
      </c>
      <c r="U263" s="872">
        <f t="shared" si="46"/>
        <v>127.11111111111197</v>
      </c>
      <c r="V263" s="872">
        <f t="shared" si="46"/>
        <v>134.33333333333201</v>
      </c>
      <c r="W263" s="872">
        <f t="shared" si="46"/>
        <v>108.3333333333336</v>
      </c>
      <c r="X263" s="872">
        <f t="shared" si="46"/>
        <v>119.88888888888914</v>
      </c>
      <c r="Y263" s="872">
        <f t="shared" si="46"/>
        <v>127.11111111111197</v>
      </c>
      <c r="Z263" s="872">
        <f t="shared" si="46"/>
        <v>101.11111111111143</v>
      </c>
      <c r="AA263" s="872">
        <f t="shared" si="46"/>
        <v>112.66666666666629</v>
      </c>
      <c r="AB263" s="872">
        <f t="shared" si="46"/>
        <v>119.88888888888914</v>
      </c>
      <c r="AC263" s="872">
        <f t="shared" si="46"/>
        <v>93.888888888888573</v>
      </c>
      <c r="AD263" s="872">
        <f t="shared" si="46"/>
        <v>105.44444444444423</v>
      </c>
      <c r="AE263" s="872">
        <f t="shared" si="46"/>
        <v>112.66666666666629</v>
      </c>
      <c r="AF263" s="872">
        <f t="shared" si="46"/>
        <v>86.66666666666714</v>
      </c>
      <c r="AG263" s="872">
        <f t="shared" si="46"/>
        <v>98.2222222222223</v>
      </c>
      <c r="AH263" s="872">
        <f t="shared" si="44"/>
        <v>105.44444444444423</v>
      </c>
      <c r="AI263" s="872">
        <f t="shared" si="44"/>
        <v>79.444444444444287</v>
      </c>
      <c r="AJ263" s="872">
        <f t="shared" si="44"/>
        <v>91.000000000000568</v>
      </c>
      <c r="AK263" s="872">
        <f t="shared" si="44"/>
        <v>98.2222222222223</v>
      </c>
    </row>
    <row r="264" spans="1:37" ht="13.5" thickBot="1">
      <c r="A264" s="868"/>
      <c r="B264" s="868"/>
      <c r="C264" s="868"/>
      <c r="D264" s="873">
        <f t="shared" si="47"/>
        <v>0.72499999999999798</v>
      </c>
      <c r="E264" s="872">
        <f t="shared" si="45"/>
        <v>203.00000000000063</v>
      </c>
      <c r="F264" s="872">
        <f t="shared" si="45"/>
        <v>214.6000000000013</v>
      </c>
      <c r="G264" s="872">
        <f t="shared" si="45"/>
        <v>221.84999999999891</v>
      </c>
      <c r="H264" s="872">
        <f t="shared" si="45"/>
        <v>188.49999999999937</v>
      </c>
      <c r="I264" s="872">
        <f t="shared" si="45"/>
        <v>200.09999999999943</v>
      </c>
      <c r="J264" s="872">
        <f t="shared" si="45"/>
        <v>207.35000000000036</v>
      </c>
      <c r="K264" s="872">
        <f t="shared" si="45"/>
        <v>174.00000000000094</v>
      </c>
      <c r="L264" s="872">
        <f t="shared" si="45"/>
        <v>185.60000000000025</v>
      </c>
      <c r="M264" s="872">
        <f t="shared" si="45"/>
        <v>192.85000000000088</v>
      </c>
      <c r="N264" s="872">
        <f t="shared" si="45"/>
        <v>130.5</v>
      </c>
      <c r="O264" s="872">
        <f t="shared" si="45"/>
        <v>142.09999999999931</v>
      </c>
      <c r="P264" s="872">
        <f t="shared" si="45"/>
        <v>149.34999999999994</v>
      </c>
      <c r="Q264" s="872">
        <f t="shared" si="45"/>
        <v>123.24999999999937</v>
      </c>
      <c r="R264" s="872">
        <f t="shared" si="45"/>
        <v>134.84999999999869</v>
      </c>
      <c r="S264" s="872">
        <f t="shared" si="45"/>
        <v>142.09999999999931</v>
      </c>
      <c r="T264" s="872">
        <f t="shared" si="45"/>
        <v>115.99999999999915</v>
      </c>
      <c r="U264" s="872">
        <f t="shared" si="46"/>
        <v>127.60000000000086</v>
      </c>
      <c r="V264" s="872">
        <f t="shared" si="46"/>
        <v>134.84999999999869</v>
      </c>
      <c r="W264" s="872">
        <f t="shared" si="46"/>
        <v>108.75000000000027</v>
      </c>
      <c r="X264" s="872">
        <f t="shared" si="46"/>
        <v>120.35000000000025</v>
      </c>
      <c r="Y264" s="872">
        <f t="shared" si="46"/>
        <v>127.60000000000086</v>
      </c>
      <c r="Z264" s="872">
        <f t="shared" si="46"/>
        <v>101.50000000000031</v>
      </c>
      <c r="AA264" s="872">
        <f t="shared" si="46"/>
        <v>113.09999999999962</v>
      </c>
      <c r="AB264" s="872">
        <f t="shared" si="46"/>
        <v>120.35000000000025</v>
      </c>
      <c r="AC264" s="872">
        <f t="shared" si="46"/>
        <v>94.249999999999687</v>
      </c>
      <c r="AD264" s="872">
        <f t="shared" si="46"/>
        <v>105.84999999999978</v>
      </c>
      <c r="AE264" s="872">
        <f t="shared" si="46"/>
        <v>113.09999999999962</v>
      </c>
      <c r="AF264" s="872">
        <f t="shared" si="46"/>
        <v>87.000000000000469</v>
      </c>
      <c r="AG264" s="872">
        <f t="shared" si="46"/>
        <v>98.60000000000008</v>
      </c>
      <c r="AH264" s="872">
        <f t="shared" si="44"/>
        <v>105.84999999999978</v>
      </c>
      <c r="AI264" s="872">
        <f t="shared" si="44"/>
        <v>79.749999999999844</v>
      </c>
      <c r="AJ264" s="872">
        <f t="shared" si="44"/>
        <v>91.350000000000563</v>
      </c>
      <c r="AK264" s="872">
        <f t="shared" si="44"/>
        <v>98.60000000000008</v>
      </c>
    </row>
    <row r="265" spans="1:37" ht="13.5" thickBot="1">
      <c r="A265" s="868"/>
      <c r="B265" s="868"/>
      <c r="C265" s="868"/>
      <c r="D265" s="873">
        <f t="shared" si="47"/>
        <v>0.72777777777777575</v>
      </c>
      <c r="E265" s="872">
        <f t="shared" si="45"/>
        <v>203.7777777777784</v>
      </c>
      <c r="F265" s="872">
        <f t="shared" si="45"/>
        <v>215.42222222222352</v>
      </c>
      <c r="G265" s="872">
        <f t="shared" si="45"/>
        <v>222.69999999999891</v>
      </c>
      <c r="H265" s="872">
        <f t="shared" si="45"/>
        <v>189.2222222222216</v>
      </c>
      <c r="I265" s="872">
        <f t="shared" si="45"/>
        <v>200.86666666666611</v>
      </c>
      <c r="J265" s="872">
        <f t="shared" si="45"/>
        <v>208.14444444444482</v>
      </c>
      <c r="K265" s="872">
        <f t="shared" si="45"/>
        <v>174.6666666666676</v>
      </c>
      <c r="L265" s="872">
        <f t="shared" si="45"/>
        <v>186.31111111111136</v>
      </c>
      <c r="M265" s="872">
        <f t="shared" ref="M265:T265" si="48">M266-(M$363/360)</f>
        <v>193.58888888888976</v>
      </c>
      <c r="N265" s="872">
        <f t="shared" si="48"/>
        <v>131</v>
      </c>
      <c r="O265" s="872">
        <f t="shared" si="48"/>
        <v>142.64444444444376</v>
      </c>
      <c r="P265" s="872">
        <f t="shared" si="48"/>
        <v>149.92222222222216</v>
      </c>
      <c r="Q265" s="872">
        <f t="shared" si="48"/>
        <v>123.7222222222216</v>
      </c>
      <c r="R265" s="872">
        <f t="shared" si="48"/>
        <v>135.36666666666537</v>
      </c>
      <c r="S265" s="872">
        <f t="shared" si="48"/>
        <v>142.64444444444376</v>
      </c>
      <c r="T265" s="872">
        <f t="shared" si="48"/>
        <v>116.44444444444359</v>
      </c>
      <c r="U265" s="872">
        <f t="shared" si="46"/>
        <v>128.08888888888976</v>
      </c>
      <c r="V265" s="872">
        <f t="shared" si="46"/>
        <v>135.36666666666537</v>
      </c>
      <c r="W265" s="872">
        <f t="shared" si="46"/>
        <v>109.16666666666694</v>
      </c>
      <c r="X265" s="872">
        <f t="shared" si="46"/>
        <v>120.81111111111136</v>
      </c>
      <c r="Y265" s="872">
        <f t="shared" si="46"/>
        <v>128.08888888888976</v>
      </c>
      <c r="Z265" s="872">
        <f t="shared" si="46"/>
        <v>101.8888888888892</v>
      </c>
      <c r="AA265" s="872">
        <f t="shared" si="46"/>
        <v>113.53333333333296</v>
      </c>
      <c r="AB265" s="872">
        <f t="shared" si="46"/>
        <v>120.81111111111136</v>
      </c>
      <c r="AC265" s="872">
        <f t="shared" si="46"/>
        <v>94.611111111110802</v>
      </c>
      <c r="AD265" s="872">
        <f t="shared" si="46"/>
        <v>106.25555555555533</v>
      </c>
      <c r="AE265" s="872">
        <f t="shared" si="46"/>
        <v>113.53333333333296</v>
      </c>
      <c r="AF265" s="872">
        <f t="shared" si="46"/>
        <v>87.333333333333798</v>
      </c>
      <c r="AG265" s="872">
        <f t="shared" si="46"/>
        <v>98.97777777777786</v>
      </c>
      <c r="AH265" s="872">
        <f t="shared" si="44"/>
        <v>106.25555555555533</v>
      </c>
      <c r="AI265" s="872">
        <f t="shared" si="44"/>
        <v>80.055555555555401</v>
      </c>
      <c r="AJ265" s="872">
        <f t="shared" si="44"/>
        <v>91.700000000000557</v>
      </c>
      <c r="AK265" s="872">
        <f t="shared" si="44"/>
        <v>98.97777777777786</v>
      </c>
    </row>
    <row r="266" spans="1:37" ht="13.5" thickBot="1">
      <c r="A266" s="868"/>
      <c r="B266" s="868"/>
      <c r="C266" s="868"/>
      <c r="D266" s="873">
        <f t="shared" si="47"/>
        <v>0.73055555555555352</v>
      </c>
      <c r="E266" s="872">
        <f t="shared" ref="E266:T281" si="49">E267-(E$363/360)</f>
        <v>204.55555555555617</v>
      </c>
      <c r="F266" s="872">
        <f t="shared" si="49"/>
        <v>216.24444444444575</v>
      </c>
      <c r="G266" s="872">
        <f t="shared" si="49"/>
        <v>223.5499999999989</v>
      </c>
      <c r="H266" s="872">
        <f t="shared" si="49"/>
        <v>189.94444444444383</v>
      </c>
      <c r="I266" s="872">
        <f t="shared" si="49"/>
        <v>201.63333333333279</v>
      </c>
      <c r="J266" s="872">
        <f t="shared" si="49"/>
        <v>208.93888888888927</v>
      </c>
      <c r="K266" s="872">
        <f t="shared" si="49"/>
        <v>175.33333333333425</v>
      </c>
      <c r="L266" s="872">
        <f t="shared" si="49"/>
        <v>187.02222222222247</v>
      </c>
      <c r="M266" s="872">
        <f t="shared" si="49"/>
        <v>194.32777777777864</v>
      </c>
      <c r="N266" s="872">
        <f t="shared" si="49"/>
        <v>131.5</v>
      </c>
      <c r="O266" s="872">
        <f t="shared" si="49"/>
        <v>143.18888888888821</v>
      </c>
      <c r="P266" s="872">
        <f t="shared" si="49"/>
        <v>150.49444444444438</v>
      </c>
      <c r="Q266" s="872">
        <f t="shared" si="49"/>
        <v>124.19444444444383</v>
      </c>
      <c r="R266" s="872">
        <f t="shared" si="49"/>
        <v>135.88333333333205</v>
      </c>
      <c r="S266" s="872">
        <f t="shared" si="49"/>
        <v>143.18888888888821</v>
      </c>
      <c r="T266" s="872">
        <f t="shared" si="49"/>
        <v>116.88888888888803</v>
      </c>
      <c r="U266" s="872">
        <f t="shared" si="46"/>
        <v>128.57777777777864</v>
      </c>
      <c r="V266" s="872">
        <f t="shared" si="46"/>
        <v>135.88333333333205</v>
      </c>
      <c r="W266" s="872">
        <f t="shared" si="46"/>
        <v>109.58333333333361</v>
      </c>
      <c r="X266" s="872">
        <f t="shared" si="46"/>
        <v>121.27222222222247</v>
      </c>
      <c r="Y266" s="872">
        <f t="shared" si="46"/>
        <v>128.57777777777864</v>
      </c>
      <c r="Z266" s="872">
        <f t="shared" si="46"/>
        <v>102.27777777777808</v>
      </c>
      <c r="AA266" s="872">
        <f t="shared" si="46"/>
        <v>113.9666666666663</v>
      </c>
      <c r="AB266" s="872">
        <f t="shared" si="46"/>
        <v>121.27222222222247</v>
      </c>
      <c r="AC266" s="872">
        <f t="shared" si="46"/>
        <v>94.972222222221916</v>
      </c>
      <c r="AD266" s="872">
        <f t="shared" si="46"/>
        <v>106.66111111111088</v>
      </c>
      <c r="AE266" s="872">
        <f t="shared" si="46"/>
        <v>113.9666666666663</v>
      </c>
      <c r="AF266" s="872">
        <f t="shared" si="46"/>
        <v>87.666666666667126</v>
      </c>
      <c r="AG266" s="872">
        <f t="shared" si="46"/>
        <v>99.35555555555564</v>
      </c>
      <c r="AH266" s="872">
        <f t="shared" si="44"/>
        <v>106.66111111111088</v>
      </c>
      <c r="AI266" s="872">
        <f t="shared" si="44"/>
        <v>80.361111111110958</v>
      </c>
      <c r="AJ266" s="872">
        <f t="shared" si="44"/>
        <v>92.050000000000551</v>
      </c>
      <c r="AK266" s="872">
        <f t="shared" si="44"/>
        <v>99.35555555555564</v>
      </c>
    </row>
    <row r="267" spans="1:37" ht="13.5" thickBot="1">
      <c r="A267" s="868"/>
      <c r="B267" s="868"/>
      <c r="C267" s="868"/>
      <c r="D267" s="873">
        <f t="shared" si="47"/>
        <v>0.73333333333333128</v>
      </c>
      <c r="E267" s="872">
        <f t="shared" si="49"/>
        <v>205.33333333333394</v>
      </c>
      <c r="F267" s="872">
        <f t="shared" si="49"/>
        <v>217.06666666666797</v>
      </c>
      <c r="G267" s="872">
        <f t="shared" si="49"/>
        <v>224.3999999999989</v>
      </c>
      <c r="H267" s="872">
        <f t="shared" si="49"/>
        <v>190.66666666666606</v>
      </c>
      <c r="I267" s="872">
        <f t="shared" si="49"/>
        <v>202.39999999999947</v>
      </c>
      <c r="J267" s="872">
        <f t="shared" si="49"/>
        <v>209.73333333333372</v>
      </c>
      <c r="K267" s="872">
        <f t="shared" si="49"/>
        <v>176.00000000000091</v>
      </c>
      <c r="L267" s="872">
        <f t="shared" si="49"/>
        <v>187.73333333333358</v>
      </c>
      <c r="M267" s="872">
        <f t="shared" si="49"/>
        <v>195.06666666666752</v>
      </c>
      <c r="N267" s="872">
        <f t="shared" si="49"/>
        <v>132</v>
      </c>
      <c r="O267" s="872">
        <f t="shared" si="49"/>
        <v>143.73333333333267</v>
      </c>
      <c r="P267" s="872">
        <f t="shared" si="49"/>
        <v>151.06666666666661</v>
      </c>
      <c r="Q267" s="872">
        <f t="shared" si="49"/>
        <v>124.66666666666606</v>
      </c>
      <c r="R267" s="872">
        <f t="shared" si="49"/>
        <v>136.39999999999873</v>
      </c>
      <c r="S267" s="872">
        <f t="shared" si="49"/>
        <v>143.73333333333267</v>
      </c>
      <c r="T267" s="872">
        <f t="shared" si="49"/>
        <v>117.33333333333248</v>
      </c>
      <c r="U267" s="872">
        <f t="shared" si="46"/>
        <v>129.06666666666752</v>
      </c>
      <c r="V267" s="872">
        <f t="shared" si="46"/>
        <v>136.39999999999873</v>
      </c>
      <c r="W267" s="872">
        <f t="shared" si="46"/>
        <v>110.00000000000028</v>
      </c>
      <c r="X267" s="872">
        <f t="shared" si="46"/>
        <v>121.73333333333358</v>
      </c>
      <c r="Y267" s="872">
        <f t="shared" si="46"/>
        <v>129.06666666666752</v>
      </c>
      <c r="Z267" s="872">
        <f t="shared" si="46"/>
        <v>102.66666666666697</v>
      </c>
      <c r="AA267" s="872">
        <f t="shared" si="46"/>
        <v>114.39999999999964</v>
      </c>
      <c r="AB267" s="872">
        <f t="shared" si="46"/>
        <v>121.73333333333358</v>
      </c>
      <c r="AC267" s="872">
        <f t="shared" si="46"/>
        <v>95.33333333333303</v>
      </c>
      <c r="AD267" s="872">
        <f t="shared" si="46"/>
        <v>107.06666666666644</v>
      </c>
      <c r="AE267" s="872">
        <f t="shared" si="46"/>
        <v>114.39999999999964</v>
      </c>
      <c r="AF267" s="872">
        <f t="shared" si="46"/>
        <v>88.000000000000455</v>
      </c>
      <c r="AG267" s="872">
        <f t="shared" si="46"/>
        <v>99.73333333333342</v>
      </c>
      <c r="AH267" s="872">
        <f t="shared" si="44"/>
        <v>107.06666666666644</v>
      </c>
      <c r="AI267" s="872">
        <f t="shared" si="44"/>
        <v>80.666666666666515</v>
      </c>
      <c r="AJ267" s="872">
        <f t="shared" si="44"/>
        <v>92.400000000000546</v>
      </c>
      <c r="AK267" s="872">
        <f t="shared" si="44"/>
        <v>99.73333333333342</v>
      </c>
    </row>
    <row r="268" spans="1:37" ht="13.5" thickBot="1">
      <c r="A268" s="868"/>
      <c r="B268" s="868"/>
      <c r="C268" s="868"/>
      <c r="D268" s="873">
        <f t="shared" si="47"/>
        <v>0.73611111111110905</v>
      </c>
      <c r="E268" s="872">
        <f t="shared" si="49"/>
        <v>206.11111111111171</v>
      </c>
      <c r="F268" s="872">
        <f t="shared" si="49"/>
        <v>217.88888888889019</v>
      </c>
      <c r="G268" s="872">
        <f t="shared" si="49"/>
        <v>225.24999999999889</v>
      </c>
      <c r="H268" s="872">
        <f t="shared" si="49"/>
        <v>191.38888888888829</v>
      </c>
      <c r="I268" s="872">
        <f t="shared" si="49"/>
        <v>203.16666666666615</v>
      </c>
      <c r="J268" s="872">
        <f t="shared" si="49"/>
        <v>210.52777777777817</v>
      </c>
      <c r="K268" s="872">
        <f t="shared" si="49"/>
        <v>176.66666666666757</v>
      </c>
      <c r="L268" s="872">
        <f t="shared" si="49"/>
        <v>188.44444444444468</v>
      </c>
      <c r="M268" s="872">
        <f t="shared" si="49"/>
        <v>195.8055555555564</v>
      </c>
      <c r="N268" s="872">
        <f t="shared" si="49"/>
        <v>132.5</v>
      </c>
      <c r="O268" s="872">
        <f t="shared" si="49"/>
        <v>144.27777777777712</v>
      </c>
      <c r="P268" s="872">
        <f t="shared" si="49"/>
        <v>151.63888888888883</v>
      </c>
      <c r="Q268" s="872">
        <f t="shared" si="49"/>
        <v>125.13888888888829</v>
      </c>
      <c r="R268" s="872">
        <f t="shared" si="49"/>
        <v>136.91666666666541</v>
      </c>
      <c r="S268" s="872">
        <f t="shared" si="49"/>
        <v>144.27777777777712</v>
      </c>
      <c r="T268" s="872">
        <f t="shared" si="49"/>
        <v>117.77777777777692</v>
      </c>
      <c r="U268" s="872">
        <f t="shared" si="46"/>
        <v>129.5555555555564</v>
      </c>
      <c r="V268" s="872">
        <f t="shared" si="46"/>
        <v>136.91666666666541</v>
      </c>
      <c r="W268" s="872">
        <f t="shared" si="46"/>
        <v>110.41666666666696</v>
      </c>
      <c r="X268" s="872">
        <f t="shared" si="46"/>
        <v>122.19444444444468</v>
      </c>
      <c r="Y268" s="872">
        <f t="shared" si="46"/>
        <v>129.5555555555564</v>
      </c>
      <c r="Z268" s="872">
        <f t="shared" si="46"/>
        <v>103.05555555555586</v>
      </c>
      <c r="AA268" s="872">
        <f t="shared" si="46"/>
        <v>114.83333333333297</v>
      </c>
      <c r="AB268" s="872">
        <f t="shared" si="46"/>
        <v>122.19444444444468</v>
      </c>
      <c r="AC268" s="872">
        <f t="shared" si="46"/>
        <v>95.694444444444144</v>
      </c>
      <c r="AD268" s="872">
        <f t="shared" si="46"/>
        <v>107.47222222222199</v>
      </c>
      <c r="AE268" s="872">
        <f t="shared" si="46"/>
        <v>114.83333333333297</v>
      </c>
      <c r="AF268" s="872">
        <f t="shared" si="46"/>
        <v>88.333333333333783</v>
      </c>
      <c r="AG268" s="872">
        <f t="shared" si="46"/>
        <v>100.1111111111112</v>
      </c>
      <c r="AH268" s="872">
        <f t="shared" si="44"/>
        <v>107.47222222222199</v>
      </c>
      <c r="AI268" s="872">
        <f t="shared" si="44"/>
        <v>80.972222222222072</v>
      </c>
      <c r="AJ268" s="872">
        <f t="shared" si="44"/>
        <v>92.75000000000054</v>
      </c>
      <c r="AK268" s="872">
        <f t="shared" si="44"/>
        <v>100.1111111111112</v>
      </c>
    </row>
    <row r="269" spans="1:37" ht="13.5" thickBot="1">
      <c r="A269" s="868"/>
      <c r="B269" s="868"/>
      <c r="C269" s="868"/>
      <c r="D269" s="873">
        <f t="shared" si="47"/>
        <v>0.73888888888888682</v>
      </c>
      <c r="E269" s="872">
        <f t="shared" si="49"/>
        <v>206.88888888888948</v>
      </c>
      <c r="F269" s="872">
        <f t="shared" si="49"/>
        <v>218.71111111111242</v>
      </c>
      <c r="G269" s="872">
        <f t="shared" si="49"/>
        <v>226.09999999999889</v>
      </c>
      <c r="H269" s="872">
        <f t="shared" si="49"/>
        <v>192.11111111111052</v>
      </c>
      <c r="I269" s="872">
        <f t="shared" si="49"/>
        <v>203.93333333333283</v>
      </c>
      <c r="J269" s="872">
        <f t="shared" si="49"/>
        <v>211.32222222222262</v>
      </c>
      <c r="K269" s="872">
        <f t="shared" si="49"/>
        <v>177.33333333333422</v>
      </c>
      <c r="L269" s="872">
        <f t="shared" si="49"/>
        <v>189.15555555555579</v>
      </c>
      <c r="M269" s="872">
        <f t="shared" si="49"/>
        <v>196.54444444444528</v>
      </c>
      <c r="N269" s="872">
        <f t="shared" si="49"/>
        <v>133</v>
      </c>
      <c r="O269" s="872">
        <f t="shared" si="49"/>
        <v>144.82222222222157</v>
      </c>
      <c r="P269" s="872">
        <f t="shared" si="49"/>
        <v>152.21111111111105</v>
      </c>
      <c r="Q269" s="872">
        <f t="shared" si="49"/>
        <v>125.61111111111052</v>
      </c>
      <c r="R269" s="872">
        <f t="shared" si="49"/>
        <v>137.43333333333209</v>
      </c>
      <c r="S269" s="872">
        <f t="shared" si="49"/>
        <v>144.82222222222157</v>
      </c>
      <c r="T269" s="872">
        <f t="shared" si="49"/>
        <v>118.22222222222136</v>
      </c>
      <c r="U269" s="872">
        <f t="shared" si="46"/>
        <v>130.04444444444528</v>
      </c>
      <c r="V269" s="872">
        <f t="shared" si="46"/>
        <v>137.43333333333209</v>
      </c>
      <c r="W269" s="872">
        <f t="shared" si="46"/>
        <v>110.83333333333363</v>
      </c>
      <c r="X269" s="872">
        <f t="shared" si="46"/>
        <v>122.65555555555579</v>
      </c>
      <c r="Y269" s="872">
        <f t="shared" si="46"/>
        <v>130.04444444444528</v>
      </c>
      <c r="Z269" s="872">
        <f t="shared" si="46"/>
        <v>103.44444444444474</v>
      </c>
      <c r="AA269" s="872">
        <f t="shared" si="46"/>
        <v>115.26666666666631</v>
      </c>
      <c r="AB269" s="872">
        <f t="shared" si="46"/>
        <v>122.65555555555579</v>
      </c>
      <c r="AC269" s="872">
        <f t="shared" si="46"/>
        <v>96.055555555555259</v>
      </c>
      <c r="AD269" s="872">
        <f t="shared" si="46"/>
        <v>107.87777777777754</v>
      </c>
      <c r="AE269" s="872">
        <f t="shared" si="46"/>
        <v>115.26666666666631</v>
      </c>
      <c r="AF269" s="872">
        <f t="shared" si="46"/>
        <v>88.666666666667112</v>
      </c>
      <c r="AG269" s="872">
        <f t="shared" si="46"/>
        <v>100.48888888888898</v>
      </c>
      <c r="AH269" s="872">
        <f t="shared" si="44"/>
        <v>107.87777777777754</v>
      </c>
      <c r="AI269" s="872">
        <f t="shared" si="44"/>
        <v>81.277777777777629</v>
      </c>
      <c r="AJ269" s="872">
        <f t="shared" si="44"/>
        <v>93.100000000000534</v>
      </c>
      <c r="AK269" s="872">
        <f t="shared" si="44"/>
        <v>100.48888888888898</v>
      </c>
    </row>
    <row r="270" spans="1:37" ht="13.5" thickBot="1">
      <c r="A270" s="868"/>
      <c r="B270" s="868"/>
      <c r="C270" s="868"/>
      <c r="D270" s="873">
        <f t="shared" si="47"/>
        <v>0.74166666666666459</v>
      </c>
      <c r="E270" s="872">
        <f t="shared" si="49"/>
        <v>207.66666666666725</v>
      </c>
      <c r="F270" s="872">
        <f t="shared" si="49"/>
        <v>219.53333333333464</v>
      </c>
      <c r="G270" s="872">
        <f t="shared" si="49"/>
        <v>226.94999999999888</v>
      </c>
      <c r="H270" s="872">
        <f t="shared" si="49"/>
        <v>192.83333333333275</v>
      </c>
      <c r="I270" s="872">
        <f t="shared" si="49"/>
        <v>204.69999999999951</v>
      </c>
      <c r="J270" s="872">
        <f t="shared" si="49"/>
        <v>212.11666666666707</v>
      </c>
      <c r="K270" s="872">
        <f t="shared" si="49"/>
        <v>178.00000000000088</v>
      </c>
      <c r="L270" s="872">
        <f t="shared" si="49"/>
        <v>189.8666666666669</v>
      </c>
      <c r="M270" s="872">
        <f t="shared" si="49"/>
        <v>197.28333333333416</v>
      </c>
      <c r="N270" s="872">
        <f t="shared" si="49"/>
        <v>133.5</v>
      </c>
      <c r="O270" s="872">
        <f t="shared" si="49"/>
        <v>145.36666666666602</v>
      </c>
      <c r="P270" s="872">
        <f t="shared" si="49"/>
        <v>152.78333333333327</v>
      </c>
      <c r="Q270" s="872">
        <f t="shared" si="49"/>
        <v>126.08333333333275</v>
      </c>
      <c r="R270" s="872">
        <f t="shared" si="49"/>
        <v>137.94999999999877</v>
      </c>
      <c r="S270" s="872">
        <f t="shared" si="49"/>
        <v>145.36666666666602</v>
      </c>
      <c r="T270" s="872">
        <f t="shared" si="49"/>
        <v>118.6666666666658</v>
      </c>
      <c r="U270" s="872">
        <f t="shared" si="46"/>
        <v>130.53333333333416</v>
      </c>
      <c r="V270" s="872">
        <f t="shared" si="46"/>
        <v>137.94999999999877</v>
      </c>
      <c r="W270" s="872">
        <f t="shared" si="46"/>
        <v>111.2500000000003</v>
      </c>
      <c r="X270" s="872">
        <f t="shared" si="46"/>
        <v>123.1166666666669</v>
      </c>
      <c r="Y270" s="872">
        <f t="shared" si="46"/>
        <v>130.53333333333416</v>
      </c>
      <c r="Z270" s="872">
        <f t="shared" si="46"/>
        <v>103.83333333333363</v>
      </c>
      <c r="AA270" s="872">
        <f t="shared" si="46"/>
        <v>115.69999999999965</v>
      </c>
      <c r="AB270" s="872">
        <f t="shared" si="46"/>
        <v>123.1166666666669</v>
      </c>
      <c r="AC270" s="872">
        <f t="shared" si="46"/>
        <v>96.416666666666373</v>
      </c>
      <c r="AD270" s="872">
        <f t="shared" si="46"/>
        <v>108.28333333333309</v>
      </c>
      <c r="AE270" s="872">
        <f t="shared" si="46"/>
        <v>115.69999999999965</v>
      </c>
      <c r="AF270" s="872">
        <f t="shared" si="46"/>
        <v>89.000000000000441</v>
      </c>
      <c r="AG270" s="872">
        <f>AG271-(AG$363/360)</f>
        <v>100.86666666666676</v>
      </c>
      <c r="AH270" s="872">
        <f t="shared" si="44"/>
        <v>108.28333333333309</v>
      </c>
      <c r="AI270" s="872">
        <f t="shared" si="44"/>
        <v>81.583333333333186</v>
      </c>
      <c r="AJ270" s="872">
        <f t="shared" si="44"/>
        <v>93.450000000000529</v>
      </c>
      <c r="AK270" s="872">
        <f t="shared" si="44"/>
        <v>100.86666666666676</v>
      </c>
    </row>
    <row r="271" spans="1:37" ht="13.5" thickBot="1">
      <c r="A271" s="868"/>
      <c r="B271" s="868"/>
      <c r="C271" s="868"/>
      <c r="D271" s="873">
        <f t="shared" si="47"/>
        <v>0.74444444444444235</v>
      </c>
      <c r="E271" s="872">
        <f t="shared" si="49"/>
        <v>208.44444444444503</v>
      </c>
      <c r="F271" s="872">
        <f t="shared" si="49"/>
        <v>220.35555555555686</v>
      </c>
      <c r="G271" s="872">
        <f t="shared" si="49"/>
        <v>227.79999999999887</v>
      </c>
      <c r="H271" s="872">
        <f t="shared" si="49"/>
        <v>193.55555555555497</v>
      </c>
      <c r="I271" s="872">
        <f t="shared" si="49"/>
        <v>205.46666666666619</v>
      </c>
      <c r="J271" s="872">
        <f t="shared" si="49"/>
        <v>212.91111111111152</v>
      </c>
      <c r="K271" s="872">
        <f t="shared" si="49"/>
        <v>178.66666666666754</v>
      </c>
      <c r="L271" s="872">
        <f t="shared" si="49"/>
        <v>190.57777777777801</v>
      </c>
      <c r="M271" s="872">
        <f t="shared" si="49"/>
        <v>198.02222222222304</v>
      </c>
      <c r="N271" s="872">
        <f t="shared" si="49"/>
        <v>134</v>
      </c>
      <c r="O271" s="872">
        <f t="shared" si="49"/>
        <v>145.91111111111047</v>
      </c>
      <c r="P271" s="872">
        <f t="shared" si="49"/>
        <v>153.3555555555555</v>
      </c>
      <c r="Q271" s="872">
        <f t="shared" si="49"/>
        <v>126.55555555555497</v>
      </c>
      <c r="R271" s="872">
        <f t="shared" si="49"/>
        <v>138.46666666666545</v>
      </c>
      <c r="S271" s="872">
        <f t="shared" si="49"/>
        <v>145.91111111111047</v>
      </c>
      <c r="T271" s="872">
        <f t="shared" si="49"/>
        <v>119.11111111111025</v>
      </c>
      <c r="U271" s="872">
        <f t="shared" ref="U271:AJ286" si="50">U272-(U$363/360)</f>
        <v>131.02222222222304</v>
      </c>
      <c r="V271" s="872">
        <f t="shared" si="50"/>
        <v>138.46666666666545</v>
      </c>
      <c r="W271" s="872">
        <f t="shared" si="50"/>
        <v>111.66666666666697</v>
      </c>
      <c r="X271" s="872">
        <f t="shared" si="50"/>
        <v>123.57777777777801</v>
      </c>
      <c r="Y271" s="872">
        <f t="shared" si="50"/>
        <v>131.02222222222304</v>
      </c>
      <c r="Z271" s="872">
        <f t="shared" si="50"/>
        <v>104.22222222222251</v>
      </c>
      <c r="AA271" s="872">
        <f t="shared" si="50"/>
        <v>116.13333333333298</v>
      </c>
      <c r="AB271" s="872">
        <f t="shared" si="50"/>
        <v>123.57777777777801</v>
      </c>
      <c r="AC271" s="872">
        <f t="shared" si="50"/>
        <v>96.777777777777487</v>
      </c>
      <c r="AD271" s="872">
        <f t="shared" si="50"/>
        <v>108.68888888888864</v>
      </c>
      <c r="AE271" s="872">
        <f t="shared" si="50"/>
        <v>116.13333333333298</v>
      </c>
      <c r="AF271" s="872">
        <f t="shared" si="50"/>
        <v>89.333333333333769</v>
      </c>
      <c r="AG271" s="872">
        <f t="shared" si="50"/>
        <v>101.24444444444454</v>
      </c>
      <c r="AH271" s="872">
        <f t="shared" si="44"/>
        <v>108.68888888888864</v>
      </c>
      <c r="AI271" s="872">
        <f t="shared" si="44"/>
        <v>81.888888888888744</v>
      </c>
      <c r="AJ271" s="872">
        <f t="shared" si="44"/>
        <v>93.800000000000523</v>
      </c>
      <c r="AK271" s="872">
        <f t="shared" si="44"/>
        <v>101.24444444444454</v>
      </c>
    </row>
    <row r="272" spans="1:37" ht="13.5" thickBot="1">
      <c r="A272" s="868"/>
      <c r="B272" s="868"/>
      <c r="C272" s="868"/>
      <c r="D272" s="873">
        <f t="shared" si="47"/>
        <v>0.74722222222222012</v>
      </c>
      <c r="E272" s="872">
        <f t="shared" si="49"/>
        <v>209.2222222222228</v>
      </c>
      <c r="F272" s="872">
        <f t="shared" si="49"/>
        <v>221.17777777777908</v>
      </c>
      <c r="G272" s="872">
        <f t="shared" si="49"/>
        <v>228.64999999999887</v>
      </c>
      <c r="H272" s="872">
        <f t="shared" si="49"/>
        <v>194.2777777777772</v>
      </c>
      <c r="I272" s="872">
        <f t="shared" si="49"/>
        <v>206.23333333333287</v>
      </c>
      <c r="J272" s="872">
        <f t="shared" si="49"/>
        <v>213.70555555555597</v>
      </c>
      <c r="K272" s="872">
        <f t="shared" si="49"/>
        <v>179.3333333333342</v>
      </c>
      <c r="L272" s="872">
        <f t="shared" si="49"/>
        <v>191.28888888888912</v>
      </c>
      <c r="M272" s="872">
        <f t="shared" si="49"/>
        <v>198.76111111111192</v>
      </c>
      <c r="N272" s="872">
        <f t="shared" si="49"/>
        <v>134.5</v>
      </c>
      <c r="O272" s="872">
        <f t="shared" si="49"/>
        <v>146.45555555555492</v>
      </c>
      <c r="P272" s="872">
        <f t="shared" si="49"/>
        <v>153.92777777777772</v>
      </c>
      <c r="Q272" s="872">
        <f t="shared" si="49"/>
        <v>127.0277777777772</v>
      </c>
      <c r="R272" s="872">
        <f t="shared" si="49"/>
        <v>138.98333333333213</v>
      </c>
      <c r="S272" s="872">
        <f t="shared" si="49"/>
        <v>146.45555555555492</v>
      </c>
      <c r="T272" s="872">
        <f t="shared" si="49"/>
        <v>119.55555555555469</v>
      </c>
      <c r="U272" s="872">
        <f t="shared" si="50"/>
        <v>131.51111111111192</v>
      </c>
      <c r="V272" s="872">
        <f t="shared" si="50"/>
        <v>138.98333333333213</v>
      </c>
      <c r="W272" s="872">
        <f t="shared" si="50"/>
        <v>112.08333333333364</v>
      </c>
      <c r="X272" s="872">
        <f t="shared" si="50"/>
        <v>124.03888888888912</v>
      </c>
      <c r="Y272" s="872">
        <f t="shared" si="50"/>
        <v>131.51111111111192</v>
      </c>
      <c r="Z272" s="872">
        <f t="shared" si="50"/>
        <v>104.6111111111114</v>
      </c>
      <c r="AA272" s="872">
        <f t="shared" si="50"/>
        <v>116.56666666666632</v>
      </c>
      <c r="AB272" s="872">
        <f t="shared" si="50"/>
        <v>124.03888888888912</v>
      </c>
      <c r="AC272" s="872">
        <f t="shared" si="50"/>
        <v>97.138888888888602</v>
      </c>
      <c r="AD272" s="872">
        <f t="shared" si="50"/>
        <v>109.09444444444419</v>
      </c>
      <c r="AE272" s="872">
        <f t="shared" si="50"/>
        <v>116.56666666666632</v>
      </c>
      <c r="AF272" s="872">
        <f t="shared" si="50"/>
        <v>89.666666666667098</v>
      </c>
      <c r="AG272" s="872">
        <f t="shared" si="50"/>
        <v>101.62222222222232</v>
      </c>
      <c r="AH272" s="872">
        <f t="shared" si="50"/>
        <v>109.09444444444419</v>
      </c>
      <c r="AI272" s="872">
        <f t="shared" si="50"/>
        <v>82.194444444444301</v>
      </c>
      <c r="AJ272" s="872">
        <f t="shared" si="50"/>
        <v>94.150000000000517</v>
      </c>
      <c r="AK272" s="872">
        <f t="shared" ref="AK272:AK303" si="51">AK273-(AK$363/360)</f>
        <v>101.62222222222232</v>
      </c>
    </row>
    <row r="273" spans="1:37" ht="13.5" thickBot="1">
      <c r="A273" s="868"/>
      <c r="B273" s="868"/>
      <c r="C273" s="868"/>
      <c r="D273" s="873">
        <f t="shared" si="47"/>
        <v>0.74999999999999789</v>
      </c>
      <c r="E273" s="872">
        <f t="shared" si="49"/>
        <v>210.00000000000057</v>
      </c>
      <c r="F273" s="872">
        <f t="shared" si="49"/>
        <v>222.00000000000131</v>
      </c>
      <c r="G273" s="872">
        <f t="shared" si="49"/>
        <v>229.49999999999886</v>
      </c>
      <c r="H273" s="872">
        <f t="shared" si="49"/>
        <v>194.99999999999943</v>
      </c>
      <c r="I273" s="872">
        <f t="shared" si="49"/>
        <v>206.99999999999955</v>
      </c>
      <c r="J273" s="872">
        <f t="shared" si="49"/>
        <v>214.50000000000043</v>
      </c>
      <c r="K273" s="872">
        <f t="shared" si="49"/>
        <v>180.00000000000085</v>
      </c>
      <c r="L273" s="872">
        <f t="shared" si="49"/>
        <v>192.00000000000023</v>
      </c>
      <c r="M273" s="872">
        <f t="shared" si="49"/>
        <v>199.5000000000008</v>
      </c>
      <c r="N273" s="872">
        <f t="shared" si="49"/>
        <v>135</v>
      </c>
      <c r="O273" s="872">
        <f t="shared" si="49"/>
        <v>146.99999999999937</v>
      </c>
      <c r="P273" s="872">
        <f t="shared" si="49"/>
        <v>154.49999999999994</v>
      </c>
      <c r="Q273" s="872">
        <f t="shared" si="49"/>
        <v>127.49999999999943</v>
      </c>
      <c r="R273" s="872">
        <f t="shared" si="49"/>
        <v>139.49999999999881</v>
      </c>
      <c r="S273" s="872">
        <f t="shared" si="49"/>
        <v>146.99999999999937</v>
      </c>
      <c r="T273" s="872">
        <f t="shared" si="49"/>
        <v>119.99999999999913</v>
      </c>
      <c r="U273" s="872">
        <f t="shared" si="50"/>
        <v>132.0000000000008</v>
      </c>
      <c r="V273" s="872">
        <f t="shared" si="50"/>
        <v>139.49999999999881</v>
      </c>
      <c r="W273" s="872">
        <f t="shared" si="50"/>
        <v>112.50000000000031</v>
      </c>
      <c r="X273" s="872">
        <f t="shared" si="50"/>
        <v>124.50000000000023</v>
      </c>
      <c r="Y273" s="872">
        <f t="shared" si="50"/>
        <v>132.0000000000008</v>
      </c>
      <c r="Z273" s="872">
        <f t="shared" si="50"/>
        <v>105.00000000000028</v>
      </c>
      <c r="AA273" s="872">
        <f t="shared" si="50"/>
        <v>116.99999999999966</v>
      </c>
      <c r="AB273" s="872">
        <f t="shared" si="50"/>
        <v>124.50000000000023</v>
      </c>
      <c r="AC273" s="872">
        <f t="shared" si="50"/>
        <v>97.499999999999716</v>
      </c>
      <c r="AD273" s="872">
        <f t="shared" si="50"/>
        <v>109.49999999999974</v>
      </c>
      <c r="AE273" s="872">
        <f t="shared" si="50"/>
        <v>116.99999999999966</v>
      </c>
      <c r="AF273" s="872">
        <f t="shared" si="50"/>
        <v>90.000000000000426</v>
      </c>
      <c r="AG273" s="872">
        <f t="shared" si="50"/>
        <v>102.0000000000001</v>
      </c>
      <c r="AH273" s="872">
        <f t="shared" si="50"/>
        <v>109.49999999999974</v>
      </c>
      <c r="AI273" s="872">
        <f t="shared" si="50"/>
        <v>82.499999999999858</v>
      </c>
      <c r="AJ273" s="872">
        <f t="shared" si="50"/>
        <v>94.500000000000512</v>
      </c>
      <c r="AK273" s="872">
        <f t="shared" si="51"/>
        <v>102.0000000000001</v>
      </c>
    </row>
    <row r="274" spans="1:37" ht="13.5" thickBot="1">
      <c r="A274" s="868"/>
      <c r="B274" s="868"/>
      <c r="C274" s="868"/>
      <c r="D274" s="873">
        <f t="shared" si="47"/>
        <v>0.75277777777777566</v>
      </c>
      <c r="E274" s="872">
        <f t="shared" si="49"/>
        <v>210.77777777777834</v>
      </c>
      <c r="F274" s="872">
        <f t="shared" si="49"/>
        <v>222.82222222222353</v>
      </c>
      <c r="G274" s="872">
        <f t="shared" si="49"/>
        <v>230.34999999999886</v>
      </c>
      <c r="H274" s="872">
        <f t="shared" si="49"/>
        <v>195.72222222222166</v>
      </c>
      <c r="I274" s="872">
        <f t="shared" si="49"/>
        <v>207.76666666666623</v>
      </c>
      <c r="J274" s="872">
        <f t="shared" si="49"/>
        <v>215.29444444444488</v>
      </c>
      <c r="K274" s="872">
        <f t="shared" si="49"/>
        <v>180.66666666666751</v>
      </c>
      <c r="L274" s="872">
        <f t="shared" si="49"/>
        <v>192.71111111111134</v>
      </c>
      <c r="M274" s="872">
        <f t="shared" si="49"/>
        <v>200.23888888888968</v>
      </c>
      <c r="N274" s="872">
        <f t="shared" si="49"/>
        <v>135.5</v>
      </c>
      <c r="O274" s="872">
        <f t="shared" si="49"/>
        <v>147.54444444444383</v>
      </c>
      <c r="P274" s="872">
        <f t="shared" si="49"/>
        <v>155.07222222222217</v>
      </c>
      <c r="Q274" s="872">
        <f t="shared" si="49"/>
        <v>127.97222222222166</v>
      </c>
      <c r="R274" s="872">
        <f t="shared" si="49"/>
        <v>140.01666666666549</v>
      </c>
      <c r="S274" s="872">
        <f t="shared" si="49"/>
        <v>147.54444444444383</v>
      </c>
      <c r="T274" s="872">
        <f t="shared" si="49"/>
        <v>120.44444444444358</v>
      </c>
      <c r="U274" s="872">
        <f t="shared" si="50"/>
        <v>132.48888888888968</v>
      </c>
      <c r="V274" s="872">
        <f t="shared" si="50"/>
        <v>140.01666666666549</v>
      </c>
      <c r="W274" s="872">
        <f t="shared" si="50"/>
        <v>112.91666666666698</v>
      </c>
      <c r="X274" s="872">
        <f t="shared" si="50"/>
        <v>124.96111111111134</v>
      </c>
      <c r="Y274" s="872">
        <f t="shared" si="50"/>
        <v>132.48888888888968</v>
      </c>
      <c r="Z274" s="872">
        <f t="shared" si="50"/>
        <v>105.38888888888917</v>
      </c>
      <c r="AA274" s="872">
        <f t="shared" si="50"/>
        <v>117.433333333333</v>
      </c>
      <c r="AB274" s="872">
        <f t="shared" si="50"/>
        <v>124.96111111111134</v>
      </c>
      <c r="AC274" s="872">
        <f t="shared" si="50"/>
        <v>97.86111111111083</v>
      </c>
      <c r="AD274" s="872">
        <f t="shared" si="50"/>
        <v>109.9055555555553</v>
      </c>
      <c r="AE274" s="872">
        <f t="shared" si="50"/>
        <v>117.433333333333</v>
      </c>
      <c r="AF274" s="872">
        <f t="shared" si="50"/>
        <v>90.333333333333755</v>
      </c>
      <c r="AG274" s="872">
        <f t="shared" si="50"/>
        <v>102.37777777777788</v>
      </c>
      <c r="AH274" s="872">
        <f t="shared" si="50"/>
        <v>109.9055555555553</v>
      </c>
      <c r="AI274" s="872">
        <f t="shared" si="50"/>
        <v>82.805555555555415</v>
      </c>
      <c r="AJ274" s="872">
        <f t="shared" si="50"/>
        <v>94.850000000000506</v>
      </c>
      <c r="AK274" s="872">
        <f t="shared" si="51"/>
        <v>102.37777777777788</v>
      </c>
    </row>
    <row r="275" spans="1:37" ht="13.5" thickBot="1">
      <c r="A275" s="868"/>
      <c r="B275" s="868"/>
      <c r="C275" s="868"/>
      <c r="D275" s="873">
        <f t="shared" si="47"/>
        <v>0.75555555555555343</v>
      </c>
      <c r="E275" s="872">
        <f t="shared" si="49"/>
        <v>211.55555555555611</v>
      </c>
      <c r="F275" s="872">
        <f t="shared" si="49"/>
        <v>223.64444444444575</v>
      </c>
      <c r="G275" s="872">
        <f t="shared" si="49"/>
        <v>231.19999999999885</v>
      </c>
      <c r="H275" s="872">
        <f t="shared" si="49"/>
        <v>196.44444444444389</v>
      </c>
      <c r="I275" s="872">
        <f t="shared" si="49"/>
        <v>208.53333333333291</v>
      </c>
      <c r="J275" s="872">
        <f t="shared" si="49"/>
        <v>216.08888888888933</v>
      </c>
      <c r="K275" s="872">
        <f t="shared" si="49"/>
        <v>181.33333333333417</v>
      </c>
      <c r="L275" s="872">
        <f t="shared" si="49"/>
        <v>193.42222222222244</v>
      </c>
      <c r="M275" s="872">
        <f t="shared" si="49"/>
        <v>200.97777777777856</v>
      </c>
      <c r="N275" s="872">
        <f t="shared" si="49"/>
        <v>136</v>
      </c>
      <c r="O275" s="872">
        <f t="shared" si="49"/>
        <v>148.08888888888828</v>
      </c>
      <c r="P275" s="872">
        <f t="shared" si="49"/>
        <v>155.64444444444439</v>
      </c>
      <c r="Q275" s="872">
        <f t="shared" si="49"/>
        <v>128.44444444444389</v>
      </c>
      <c r="R275" s="872">
        <f t="shared" si="49"/>
        <v>140.53333333333217</v>
      </c>
      <c r="S275" s="872">
        <f t="shared" si="49"/>
        <v>148.08888888888828</v>
      </c>
      <c r="T275" s="872">
        <f t="shared" si="49"/>
        <v>120.88888888888802</v>
      </c>
      <c r="U275" s="872">
        <f t="shared" si="50"/>
        <v>132.97777777777856</v>
      </c>
      <c r="V275" s="872">
        <f t="shared" si="50"/>
        <v>140.53333333333217</v>
      </c>
      <c r="W275" s="872">
        <f t="shared" si="50"/>
        <v>113.33333333333366</v>
      </c>
      <c r="X275" s="872">
        <f t="shared" si="50"/>
        <v>125.42222222222244</v>
      </c>
      <c r="Y275" s="872">
        <f t="shared" si="50"/>
        <v>132.97777777777856</v>
      </c>
      <c r="Z275" s="872">
        <f t="shared" si="50"/>
        <v>105.77777777777806</v>
      </c>
      <c r="AA275" s="872">
        <f t="shared" si="50"/>
        <v>117.86666666666633</v>
      </c>
      <c r="AB275" s="872">
        <f t="shared" si="50"/>
        <v>125.42222222222244</v>
      </c>
      <c r="AC275" s="872">
        <f t="shared" si="50"/>
        <v>98.222222222221944</v>
      </c>
      <c r="AD275" s="872">
        <f t="shared" si="50"/>
        <v>110.31111111111085</v>
      </c>
      <c r="AE275" s="872">
        <f t="shared" si="50"/>
        <v>117.86666666666633</v>
      </c>
      <c r="AF275" s="872">
        <f t="shared" si="50"/>
        <v>90.666666666667084</v>
      </c>
      <c r="AG275" s="872">
        <f t="shared" si="50"/>
        <v>102.75555555555566</v>
      </c>
      <c r="AH275" s="872">
        <f t="shared" si="50"/>
        <v>110.31111111111085</v>
      </c>
      <c r="AI275" s="872">
        <f t="shared" si="50"/>
        <v>83.111111111110972</v>
      </c>
      <c r="AJ275" s="872">
        <f t="shared" si="50"/>
        <v>95.2000000000005</v>
      </c>
      <c r="AK275" s="872">
        <f t="shared" si="51"/>
        <v>102.75555555555566</v>
      </c>
    </row>
    <row r="276" spans="1:37" ht="13.5" thickBot="1">
      <c r="A276" s="868"/>
      <c r="B276" s="868"/>
      <c r="C276" s="868"/>
      <c r="D276" s="873">
        <f t="shared" si="47"/>
        <v>0.75833333333333119</v>
      </c>
      <c r="E276" s="872">
        <f t="shared" si="49"/>
        <v>212.33333333333388</v>
      </c>
      <c r="F276" s="872">
        <f t="shared" si="49"/>
        <v>224.46666666666798</v>
      </c>
      <c r="G276" s="872">
        <f t="shared" si="49"/>
        <v>232.04999999999885</v>
      </c>
      <c r="H276" s="872">
        <f t="shared" si="49"/>
        <v>197.16666666666612</v>
      </c>
      <c r="I276" s="872">
        <f t="shared" si="49"/>
        <v>209.29999999999959</v>
      </c>
      <c r="J276" s="872">
        <f t="shared" si="49"/>
        <v>216.88333333333378</v>
      </c>
      <c r="K276" s="872">
        <f t="shared" si="49"/>
        <v>182.00000000000082</v>
      </c>
      <c r="L276" s="872">
        <f t="shared" si="49"/>
        <v>194.13333333333355</v>
      </c>
      <c r="M276" s="872">
        <f t="shared" si="49"/>
        <v>201.71666666666744</v>
      </c>
      <c r="N276" s="872">
        <f t="shared" si="49"/>
        <v>136.5</v>
      </c>
      <c r="O276" s="872">
        <f t="shared" si="49"/>
        <v>148.63333333333273</v>
      </c>
      <c r="P276" s="872">
        <f t="shared" si="49"/>
        <v>156.21666666666661</v>
      </c>
      <c r="Q276" s="872">
        <f t="shared" si="49"/>
        <v>128.91666666666612</v>
      </c>
      <c r="R276" s="872">
        <f t="shared" si="49"/>
        <v>141.04999999999885</v>
      </c>
      <c r="S276" s="872">
        <f t="shared" si="49"/>
        <v>148.63333333333273</v>
      </c>
      <c r="T276" s="872">
        <f t="shared" si="49"/>
        <v>121.33333333333246</v>
      </c>
      <c r="U276" s="872">
        <f t="shared" si="50"/>
        <v>133.46666666666744</v>
      </c>
      <c r="V276" s="872">
        <f t="shared" si="50"/>
        <v>141.04999999999885</v>
      </c>
      <c r="W276" s="872">
        <f t="shared" si="50"/>
        <v>113.75000000000033</v>
      </c>
      <c r="X276" s="872">
        <f t="shared" si="50"/>
        <v>125.88333333333355</v>
      </c>
      <c r="Y276" s="872">
        <f t="shared" si="50"/>
        <v>133.46666666666744</v>
      </c>
      <c r="Z276" s="872">
        <f t="shared" si="50"/>
        <v>106.16666666666694</v>
      </c>
      <c r="AA276" s="872">
        <f t="shared" si="50"/>
        <v>118.29999999999967</v>
      </c>
      <c r="AB276" s="872">
        <f t="shared" si="50"/>
        <v>125.88333333333355</v>
      </c>
      <c r="AC276" s="872">
        <f t="shared" si="50"/>
        <v>98.583333333333059</v>
      </c>
      <c r="AD276" s="872">
        <f t="shared" si="50"/>
        <v>110.7166666666664</v>
      </c>
      <c r="AE276" s="872">
        <f t="shared" si="50"/>
        <v>118.29999999999967</v>
      </c>
      <c r="AF276" s="872">
        <f t="shared" si="50"/>
        <v>91.000000000000412</v>
      </c>
      <c r="AG276" s="872">
        <f t="shared" si="50"/>
        <v>103.13333333333344</v>
      </c>
      <c r="AH276" s="872">
        <f t="shared" si="50"/>
        <v>110.7166666666664</v>
      </c>
      <c r="AI276" s="872">
        <f t="shared" si="50"/>
        <v>83.416666666666529</v>
      </c>
      <c r="AJ276" s="872">
        <f t="shared" si="50"/>
        <v>95.550000000000495</v>
      </c>
      <c r="AK276" s="872">
        <f t="shared" si="51"/>
        <v>103.13333333333344</v>
      </c>
    </row>
    <row r="277" spans="1:37" ht="13.5" thickBot="1">
      <c r="A277" s="868"/>
      <c r="B277" s="868"/>
      <c r="C277" s="868"/>
      <c r="D277" s="873">
        <f t="shared" si="47"/>
        <v>0.76111111111110896</v>
      </c>
      <c r="E277" s="872">
        <f t="shared" si="49"/>
        <v>213.11111111111165</v>
      </c>
      <c r="F277" s="872">
        <f t="shared" si="49"/>
        <v>225.2888888888902</v>
      </c>
      <c r="G277" s="872">
        <f t="shared" si="49"/>
        <v>232.89999999999884</v>
      </c>
      <c r="H277" s="872">
        <f t="shared" si="49"/>
        <v>197.88888888888835</v>
      </c>
      <c r="I277" s="872">
        <f t="shared" si="49"/>
        <v>210.06666666666626</v>
      </c>
      <c r="J277" s="872">
        <f t="shared" si="49"/>
        <v>217.67777777777823</v>
      </c>
      <c r="K277" s="872">
        <f t="shared" si="49"/>
        <v>182.66666666666748</v>
      </c>
      <c r="L277" s="872">
        <f t="shared" si="49"/>
        <v>194.84444444444466</v>
      </c>
      <c r="M277" s="872">
        <f t="shared" si="49"/>
        <v>202.45555555555632</v>
      </c>
      <c r="N277" s="872">
        <f t="shared" si="49"/>
        <v>137</v>
      </c>
      <c r="O277" s="872">
        <f t="shared" si="49"/>
        <v>149.17777777777718</v>
      </c>
      <c r="P277" s="872">
        <f t="shared" si="49"/>
        <v>156.78888888888883</v>
      </c>
      <c r="Q277" s="872">
        <f t="shared" si="49"/>
        <v>129.38888888888835</v>
      </c>
      <c r="R277" s="872">
        <f t="shared" si="49"/>
        <v>141.56666666666553</v>
      </c>
      <c r="S277" s="872">
        <f t="shared" si="49"/>
        <v>149.17777777777718</v>
      </c>
      <c r="T277" s="872">
        <f t="shared" si="49"/>
        <v>121.7777777777769</v>
      </c>
      <c r="U277" s="872">
        <f t="shared" si="50"/>
        <v>133.95555555555632</v>
      </c>
      <c r="V277" s="872">
        <f t="shared" si="50"/>
        <v>141.56666666666553</v>
      </c>
      <c r="W277" s="872">
        <f t="shared" si="50"/>
        <v>114.166666666667</v>
      </c>
      <c r="X277" s="872">
        <f t="shared" si="50"/>
        <v>126.34444444444466</v>
      </c>
      <c r="Y277" s="872">
        <f t="shared" si="50"/>
        <v>133.95555555555632</v>
      </c>
      <c r="Z277" s="872">
        <f t="shared" si="50"/>
        <v>106.55555555555583</v>
      </c>
      <c r="AA277" s="872">
        <f t="shared" si="50"/>
        <v>118.73333333333301</v>
      </c>
      <c r="AB277" s="872">
        <f t="shared" si="50"/>
        <v>126.34444444444466</v>
      </c>
      <c r="AC277" s="872">
        <f t="shared" si="50"/>
        <v>98.944444444444173</v>
      </c>
      <c r="AD277" s="872">
        <f t="shared" si="50"/>
        <v>111.12222222222195</v>
      </c>
      <c r="AE277" s="872">
        <f t="shared" si="50"/>
        <v>118.73333333333301</v>
      </c>
      <c r="AF277" s="872">
        <f t="shared" si="50"/>
        <v>91.333333333333741</v>
      </c>
      <c r="AG277" s="872">
        <f t="shared" si="50"/>
        <v>103.51111111111122</v>
      </c>
      <c r="AH277" s="872">
        <f t="shared" si="50"/>
        <v>111.12222222222195</v>
      </c>
      <c r="AI277" s="872">
        <f t="shared" si="50"/>
        <v>83.722222222222086</v>
      </c>
      <c r="AJ277" s="872">
        <f t="shared" si="50"/>
        <v>95.900000000000489</v>
      </c>
      <c r="AK277" s="872">
        <f t="shared" si="51"/>
        <v>103.51111111111122</v>
      </c>
    </row>
    <row r="278" spans="1:37" ht="13.5" thickBot="1">
      <c r="A278" s="868"/>
      <c r="B278" s="868"/>
      <c r="C278" s="868"/>
      <c r="D278" s="873">
        <f t="shared" si="47"/>
        <v>0.76388888888888673</v>
      </c>
      <c r="E278" s="872">
        <f t="shared" si="49"/>
        <v>213.88888888888943</v>
      </c>
      <c r="F278" s="872">
        <f t="shared" si="49"/>
        <v>226.11111111111242</v>
      </c>
      <c r="G278" s="872">
        <f t="shared" si="49"/>
        <v>233.74999999999883</v>
      </c>
      <c r="H278" s="872">
        <f t="shared" si="49"/>
        <v>198.61111111111057</v>
      </c>
      <c r="I278" s="872">
        <f t="shared" si="49"/>
        <v>210.83333333333294</v>
      </c>
      <c r="J278" s="872">
        <f t="shared" si="49"/>
        <v>218.47222222222268</v>
      </c>
      <c r="K278" s="872">
        <f t="shared" si="49"/>
        <v>183.33333333333414</v>
      </c>
      <c r="L278" s="872">
        <f t="shared" si="49"/>
        <v>195.55555555555577</v>
      </c>
      <c r="M278" s="872">
        <f t="shared" si="49"/>
        <v>203.1944444444452</v>
      </c>
      <c r="N278" s="872">
        <f t="shared" si="49"/>
        <v>137.5</v>
      </c>
      <c r="O278" s="872">
        <f t="shared" si="49"/>
        <v>149.72222222222163</v>
      </c>
      <c r="P278" s="872">
        <f t="shared" si="49"/>
        <v>157.36111111111106</v>
      </c>
      <c r="Q278" s="872">
        <f t="shared" si="49"/>
        <v>129.86111111111057</v>
      </c>
      <c r="R278" s="872">
        <f t="shared" si="49"/>
        <v>142.08333333333221</v>
      </c>
      <c r="S278" s="872">
        <f t="shared" si="49"/>
        <v>149.72222222222163</v>
      </c>
      <c r="T278" s="872">
        <f t="shared" si="49"/>
        <v>122.22222222222135</v>
      </c>
      <c r="U278" s="872">
        <f t="shared" si="50"/>
        <v>134.4444444444452</v>
      </c>
      <c r="V278" s="872">
        <f t="shared" si="50"/>
        <v>142.08333333333221</v>
      </c>
      <c r="W278" s="872">
        <f t="shared" si="50"/>
        <v>114.58333333333367</v>
      </c>
      <c r="X278" s="872">
        <f t="shared" si="50"/>
        <v>126.80555555555577</v>
      </c>
      <c r="Y278" s="872">
        <f t="shared" si="50"/>
        <v>134.4444444444452</v>
      </c>
      <c r="Z278" s="872">
        <f t="shared" si="50"/>
        <v>106.94444444444471</v>
      </c>
      <c r="AA278" s="872">
        <f t="shared" si="50"/>
        <v>119.16666666666634</v>
      </c>
      <c r="AB278" s="872">
        <f t="shared" si="50"/>
        <v>126.80555555555577</v>
      </c>
      <c r="AC278" s="872">
        <f t="shared" si="50"/>
        <v>99.305555555555287</v>
      </c>
      <c r="AD278" s="872">
        <f t="shared" si="50"/>
        <v>111.5277777777775</v>
      </c>
      <c r="AE278" s="872">
        <f t="shared" si="50"/>
        <v>119.16666666666634</v>
      </c>
      <c r="AF278" s="872">
        <f t="shared" si="50"/>
        <v>91.666666666667069</v>
      </c>
      <c r="AG278" s="872">
        <f t="shared" si="50"/>
        <v>103.888888888889</v>
      </c>
      <c r="AH278" s="872">
        <f t="shared" si="50"/>
        <v>111.5277777777775</v>
      </c>
      <c r="AI278" s="872">
        <f t="shared" si="50"/>
        <v>84.027777777777644</v>
      </c>
      <c r="AJ278" s="872">
        <f t="shared" si="50"/>
        <v>96.250000000000483</v>
      </c>
      <c r="AK278" s="872">
        <f t="shared" si="51"/>
        <v>103.888888888889</v>
      </c>
    </row>
    <row r="279" spans="1:37" ht="13.5" thickBot="1">
      <c r="A279" s="868"/>
      <c r="B279" s="868"/>
      <c r="C279" s="868"/>
      <c r="D279" s="873">
        <f t="shared" si="47"/>
        <v>0.7666666666666645</v>
      </c>
      <c r="E279" s="872">
        <f t="shared" si="49"/>
        <v>214.6666666666672</v>
      </c>
      <c r="F279" s="872">
        <f t="shared" si="49"/>
        <v>226.93333333333464</v>
      </c>
      <c r="G279" s="872">
        <f t="shared" si="49"/>
        <v>234.59999999999883</v>
      </c>
      <c r="H279" s="872">
        <f t="shared" si="49"/>
        <v>199.3333333333328</v>
      </c>
      <c r="I279" s="872">
        <f t="shared" si="49"/>
        <v>211.59999999999962</v>
      </c>
      <c r="J279" s="872">
        <f t="shared" si="49"/>
        <v>219.26666666666713</v>
      </c>
      <c r="K279" s="872">
        <f t="shared" si="49"/>
        <v>184.0000000000008</v>
      </c>
      <c r="L279" s="872">
        <f t="shared" si="49"/>
        <v>196.26666666666688</v>
      </c>
      <c r="M279" s="872">
        <f t="shared" si="49"/>
        <v>203.93333333333408</v>
      </c>
      <c r="N279" s="872">
        <f t="shared" si="49"/>
        <v>138</v>
      </c>
      <c r="O279" s="872">
        <f t="shared" si="49"/>
        <v>150.26666666666608</v>
      </c>
      <c r="P279" s="872">
        <f t="shared" si="49"/>
        <v>157.93333333333328</v>
      </c>
      <c r="Q279" s="872">
        <f t="shared" si="49"/>
        <v>130.3333333333328</v>
      </c>
      <c r="R279" s="872">
        <f t="shared" si="49"/>
        <v>142.59999999999889</v>
      </c>
      <c r="S279" s="872">
        <f t="shared" si="49"/>
        <v>150.26666666666608</v>
      </c>
      <c r="T279" s="872">
        <f t="shared" si="49"/>
        <v>122.66666666666579</v>
      </c>
      <c r="U279" s="872">
        <f t="shared" si="50"/>
        <v>134.93333333333408</v>
      </c>
      <c r="V279" s="872">
        <f t="shared" si="50"/>
        <v>142.59999999999889</v>
      </c>
      <c r="W279" s="872">
        <f t="shared" si="50"/>
        <v>115.00000000000034</v>
      </c>
      <c r="X279" s="872">
        <f t="shared" si="50"/>
        <v>127.26666666666688</v>
      </c>
      <c r="Y279" s="872">
        <f t="shared" si="50"/>
        <v>134.93333333333408</v>
      </c>
      <c r="Z279" s="872">
        <f t="shared" si="50"/>
        <v>107.3333333333336</v>
      </c>
      <c r="AA279" s="872">
        <f t="shared" si="50"/>
        <v>119.59999999999968</v>
      </c>
      <c r="AB279" s="872">
        <f t="shared" si="50"/>
        <v>127.26666666666688</v>
      </c>
      <c r="AC279" s="872">
        <f t="shared" si="50"/>
        <v>99.666666666666401</v>
      </c>
      <c r="AD279" s="872">
        <f t="shared" si="50"/>
        <v>111.93333333333305</v>
      </c>
      <c r="AE279" s="872">
        <f t="shared" si="50"/>
        <v>119.59999999999968</v>
      </c>
      <c r="AF279" s="872">
        <f t="shared" si="50"/>
        <v>92.000000000000398</v>
      </c>
      <c r="AG279" s="872">
        <f t="shared" si="50"/>
        <v>104.26666666666678</v>
      </c>
      <c r="AH279" s="872">
        <f t="shared" si="50"/>
        <v>111.93333333333305</v>
      </c>
      <c r="AI279" s="872">
        <f t="shared" si="50"/>
        <v>84.333333333333201</v>
      </c>
      <c r="AJ279" s="872">
        <f t="shared" si="50"/>
        <v>96.600000000000477</v>
      </c>
      <c r="AK279" s="872">
        <f t="shared" si="51"/>
        <v>104.26666666666678</v>
      </c>
    </row>
    <row r="280" spans="1:37" ht="13.5" thickBot="1">
      <c r="A280" s="868"/>
      <c r="B280" s="868"/>
      <c r="C280" s="868"/>
      <c r="D280" s="873">
        <f t="shared" si="47"/>
        <v>0.76944444444444227</v>
      </c>
      <c r="E280" s="872">
        <f t="shared" si="49"/>
        <v>215.44444444444497</v>
      </c>
      <c r="F280" s="872">
        <f t="shared" si="49"/>
        <v>227.75555555555687</v>
      </c>
      <c r="G280" s="872">
        <f t="shared" si="49"/>
        <v>235.44999999999882</v>
      </c>
      <c r="H280" s="872">
        <f t="shared" si="49"/>
        <v>200.05555555555503</v>
      </c>
      <c r="I280" s="872">
        <f t="shared" si="49"/>
        <v>212.3666666666663</v>
      </c>
      <c r="J280" s="872">
        <f t="shared" si="49"/>
        <v>220.06111111111159</v>
      </c>
      <c r="K280" s="872">
        <f t="shared" si="49"/>
        <v>184.66666666666745</v>
      </c>
      <c r="L280" s="872">
        <f t="shared" si="49"/>
        <v>196.97777777777799</v>
      </c>
      <c r="M280" s="872">
        <f t="shared" si="49"/>
        <v>204.67222222222296</v>
      </c>
      <c r="N280" s="872">
        <f t="shared" si="49"/>
        <v>138.5</v>
      </c>
      <c r="O280" s="872">
        <f t="shared" si="49"/>
        <v>150.81111111111053</v>
      </c>
      <c r="P280" s="872">
        <f t="shared" si="49"/>
        <v>158.5055555555555</v>
      </c>
      <c r="Q280" s="872">
        <f t="shared" si="49"/>
        <v>130.80555555555503</v>
      </c>
      <c r="R280" s="872">
        <f t="shared" si="49"/>
        <v>143.11666666666557</v>
      </c>
      <c r="S280" s="872">
        <f t="shared" si="49"/>
        <v>150.81111111111053</v>
      </c>
      <c r="T280" s="872">
        <f t="shared" si="49"/>
        <v>123.11111111111023</v>
      </c>
      <c r="U280" s="872">
        <f t="shared" si="50"/>
        <v>135.42222222222296</v>
      </c>
      <c r="V280" s="872">
        <f t="shared" si="50"/>
        <v>143.11666666666557</v>
      </c>
      <c r="W280" s="872">
        <f t="shared" si="50"/>
        <v>115.41666666666701</v>
      </c>
      <c r="X280" s="872">
        <f t="shared" si="50"/>
        <v>127.72777777777799</v>
      </c>
      <c r="Y280" s="872">
        <f t="shared" si="50"/>
        <v>135.42222222222296</v>
      </c>
      <c r="Z280" s="872">
        <f t="shared" si="50"/>
        <v>107.72222222222248</v>
      </c>
      <c r="AA280" s="872">
        <f t="shared" si="50"/>
        <v>120.03333333333302</v>
      </c>
      <c r="AB280" s="872">
        <f t="shared" si="50"/>
        <v>127.72777777777799</v>
      </c>
      <c r="AC280" s="872">
        <f t="shared" si="50"/>
        <v>100.02777777777752</v>
      </c>
      <c r="AD280" s="872">
        <f t="shared" si="50"/>
        <v>112.3388888888886</v>
      </c>
      <c r="AE280" s="872">
        <f t="shared" si="50"/>
        <v>120.03333333333302</v>
      </c>
      <c r="AF280" s="872">
        <f t="shared" si="50"/>
        <v>92.333333333333727</v>
      </c>
      <c r="AG280" s="872">
        <f t="shared" si="50"/>
        <v>104.64444444444456</v>
      </c>
      <c r="AH280" s="872">
        <f t="shared" si="50"/>
        <v>112.3388888888886</v>
      </c>
      <c r="AI280" s="872">
        <f t="shared" si="50"/>
        <v>84.638888888888758</v>
      </c>
      <c r="AJ280" s="872">
        <f t="shared" si="50"/>
        <v>96.950000000000472</v>
      </c>
      <c r="AK280" s="872">
        <f t="shared" si="51"/>
        <v>104.64444444444456</v>
      </c>
    </row>
    <row r="281" spans="1:37" ht="13.5" thickBot="1">
      <c r="A281" s="868"/>
      <c r="B281" s="868"/>
      <c r="C281" s="868"/>
      <c r="D281" s="873">
        <f t="shared" si="47"/>
        <v>0.77222222222222003</v>
      </c>
      <c r="E281" s="872">
        <f t="shared" si="49"/>
        <v>216.22222222222274</v>
      </c>
      <c r="F281" s="872">
        <f t="shared" si="49"/>
        <v>228.57777777777909</v>
      </c>
      <c r="G281" s="872">
        <f t="shared" si="49"/>
        <v>236.29999999999882</v>
      </c>
      <c r="H281" s="872">
        <f t="shared" si="49"/>
        <v>200.77777777777726</v>
      </c>
      <c r="I281" s="872">
        <f t="shared" si="49"/>
        <v>213.13333333333298</v>
      </c>
      <c r="J281" s="872">
        <f t="shared" si="49"/>
        <v>220.85555555555604</v>
      </c>
      <c r="K281" s="872">
        <f t="shared" si="49"/>
        <v>185.33333333333411</v>
      </c>
      <c r="L281" s="872">
        <f t="shared" si="49"/>
        <v>197.6888888888891</v>
      </c>
      <c r="M281" s="872">
        <f t="shared" si="49"/>
        <v>205.41111111111184</v>
      </c>
      <c r="N281" s="872">
        <f t="shared" si="49"/>
        <v>139</v>
      </c>
      <c r="O281" s="872">
        <f t="shared" si="49"/>
        <v>151.35555555555499</v>
      </c>
      <c r="P281" s="872">
        <f t="shared" si="49"/>
        <v>159.07777777777773</v>
      </c>
      <c r="Q281" s="872">
        <f t="shared" si="49"/>
        <v>131.27777777777726</v>
      </c>
      <c r="R281" s="872">
        <f t="shared" si="49"/>
        <v>143.63333333333225</v>
      </c>
      <c r="S281" s="872">
        <f t="shared" si="49"/>
        <v>151.35555555555499</v>
      </c>
      <c r="T281" s="872">
        <f>T282-(T$363/360)</f>
        <v>123.55555555555468</v>
      </c>
      <c r="U281" s="872">
        <f t="shared" si="50"/>
        <v>135.91111111111184</v>
      </c>
      <c r="V281" s="872">
        <f t="shared" si="50"/>
        <v>143.63333333333225</v>
      </c>
      <c r="W281" s="872">
        <f t="shared" si="50"/>
        <v>115.83333333333368</v>
      </c>
      <c r="X281" s="872">
        <f t="shared" si="50"/>
        <v>128.1888888888891</v>
      </c>
      <c r="Y281" s="872">
        <f t="shared" si="50"/>
        <v>135.91111111111184</v>
      </c>
      <c r="Z281" s="872">
        <f t="shared" si="50"/>
        <v>108.11111111111137</v>
      </c>
      <c r="AA281" s="872">
        <f t="shared" si="50"/>
        <v>120.46666666666636</v>
      </c>
      <c r="AB281" s="872">
        <f t="shared" si="50"/>
        <v>128.1888888888891</v>
      </c>
      <c r="AC281" s="872">
        <f t="shared" si="50"/>
        <v>100.38888888888863</v>
      </c>
      <c r="AD281" s="872">
        <f t="shared" si="50"/>
        <v>112.74444444444416</v>
      </c>
      <c r="AE281" s="872">
        <f t="shared" si="50"/>
        <v>120.46666666666636</v>
      </c>
      <c r="AF281" s="872">
        <f t="shared" si="50"/>
        <v>92.666666666667055</v>
      </c>
      <c r="AG281" s="872">
        <f t="shared" si="50"/>
        <v>105.02222222222234</v>
      </c>
      <c r="AH281" s="872">
        <f t="shared" si="50"/>
        <v>112.74444444444416</v>
      </c>
      <c r="AI281" s="872">
        <f t="shared" si="50"/>
        <v>84.944444444444315</v>
      </c>
      <c r="AJ281" s="872">
        <f t="shared" si="50"/>
        <v>97.300000000000466</v>
      </c>
      <c r="AK281" s="872">
        <f t="shared" si="51"/>
        <v>105.02222222222234</v>
      </c>
    </row>
    <row r="282" spans="1:37" ht="13.5" thickBot="1">
      <c r="A282" s="868"/>
      <c r="B282" s="868"/>
      <c r="C282" s="868"/>
      <c r="D282" s="873">
        <f t="shared" si="47"/>
        <v>0.7749999999999978</v>
      </c>
      <c r="E282" s="872">
        <f t="shared" ref="E282:T297" si="52">E283-(E$363/360)</f>
        <v>217.00000000000051</v>
      </c>
      <c r="F282" s="872">
        <f t="shared" si="52"/>
        <v>229.40000000000131</v>
      </c>
      <c r="G282" s="872">
        <f t="shared" si="52"/>
        <v>237.14999999999881</v>
      </c>
      <c r="H282" s="872">
        <f t="shared" si="52"/>
        <v>201.49999999999949</v>
      </c>
      <c r="I282" s="872">
        <f t="shared" si="52"/>
        <v>213.89999999999966</v>
      </c>
      <c r="J282" s="872">
        <f t="shared" si="52"/>
        <v>221.65000000000049</v>
      </c>
      <c r="K282" s="872">
        <f t="shared" si="52"/>
        <v>186.00000000000077</v>
      </c>
      <c r="L282" s="872">
        <f t="shared" si="52"/>
        <v>198.4000000000002</v>
      </c>
      <c r="M282" s="872">
        <f t="shared" si="52"/>
        <v>206.15000000000072</v>
      </c>
      <c r="N282" s="872">
        <f t="shared" si="52"/>
        <v>139.5</v>
      </c>
      <c r="O282" s="872">
        <f t="shared" si="52"/>
        <v>151.89999999999944</v>
      </c>
      <c r="P282" s="872">
        <f t="shared" si="52"/>
        <v>159.64999999999995</v>
      </c>
      <c r="Q282" s="872">
        <f t="shared" si="52"/>
        <v>131.74999999999949</v>
      </c>
      <c r="R282" s="872">
        <f t="shared" si="52"/>
        <v>144.14999999999893</v>
      </c>
      <c r="S282" s="872">
        <f t="shared" si="52"/>
        <v>151.89999999999944</v>
      </c>
      <c r="T282" s="872">
        <f t="shared" si="52"/>
        <v>123.99999999999912</v>
      </c>
      <c r="U282" s="872">
        <f t="shared" si="50"/>
        <v>136.40000000000072</v>
      </c>
      <c r="V282" s="872">
        <f t="shared" si="50"/>
        <v>144.14999999999893</v>
      </c>
      <c r="W282" s="872">
        <f t="shared" si="50"/>
        <v>116.25000000000036</v>
      </c>
      <c r="X282" s="872">
        <f t="shared" si="50"/>
        <v>128.6500000000002</v>
      </c>
      <c r="Y282" s="872">
        <f t="shared" si="50"/>
        <v>136.40000000000072</v>
      </c>
      <c r="Z282" s="872">
        <f t="shared" si="50"/>
        <v>108.50000000000026</v>
      </c>
      <c r="AA282" s="872">
        <f t="shared" si="50"/>
        <v>120.89999999999969</v>
      </c>
      <c r="AB282" s="872">
        <f t="shared" si="50"/>
        <v>128.6500000000002</v>
      </c>
      <c r="AC282" s="872">
        <f t="shared" si="50"/>
        <v>100.74999999999974</v>
      </c>
      <c r="AD282" s="872">
        <f t="shared" si="50"/>
        <v>113.14999999999971</v>
      </c>
      <c r="AE282" s="872">
        <f t="shared" si="50"/>
        <v>120.89999999999969</v>
      </c>
      <c r="AF282" s="872">
        <f t="shared" si="50"/>
        <v>93.000000000000384</v>
      </c>
      <c r="AG282" s="872">
        <f t="shared" si="50"/>
        <v>105.40000000000012</v>
      </c>
      <c r="AH282" s="872">
        <f t="shared" si="50"/>
        <v>113.14999999999971</v>
      </c>
      <c r="AI282" s="872">
        <f t="shared" si="50"/>
        <v>85.249999999999872</v>
      </c>
      <c r="AJ282" s="872">
        <f t="shared" si="50"/>
        <v>97.65000000000046</v>
      </c>
      <c r="AK282" s="872">
        <f t="shared" si="51"/>
        <v>105.40000000000012</v>
      </c>
    </row>
    <row r="283" spans="1:37" ht="13.5" thickBot="1">
      <c r="A283" s="868"/>
      <c r="B283" s="868"/>
      <c r="C283" s="868"/>
      <c r="D283" s="873">
        <f t="shared" si="47"/>
        <v>0.77777777777777557</v>
      </c>
      <c r="E283" s="872">
        <f t="shared" si="52"/>
        <v>217.77777777777828</v>
      </c>
      <c r="F283" s="872">
        <f t="shared" si="52"/>
        <v>230.22222222222354</v>
      </c>
      <c r="G283" s="872">
        <f t="shared" si="52"/>
        <v>237.99999999999881</v>
      </c>
      <c r="H283" s="872">
        <f t="shared" si="52"/>
        <v>202.22222222222172</v>
      </c>
      <c r="I283" s="872">
        <f t="shared" si="52"/>
        <v>214.66666666666634</v>
      </c>
      <c r="J283" s="872">
        <f t="shared" si="52"/>
        <v>222.44444444444494</v>
      </c>
      <c r="K283" s="872">
        <f t="shared" si="52"/>
        <v>186.66666666666742</v>
      </c>
      <c r="L283" s="872">
        <f t="shared" si="52"/>
        <v>199.11111111111131</v>
      </c>
      <c r="M283" s="872">
        <f t="shared" si="52"/>
        <v>206.8888888888896</v>
      </c>
      <c r="N283" s="872">
        <f t="shared" si="52"/>
        <v>140</v>
      </c>
      <c r="O283" s="872">
        <f t="shared" si="52"/>
        <v>152.44444444444389</v>
      </c>
      <c r="P283" s="872">
        <f t="shared" si="52"/>
        <v>160.22222222222217</v>
      </c>
      <c r="Q283" s="872">
        <f t="shared" si="52"/>
        <v>132.22222222222172</v>
      </c>
      <c r="R283" s="872">
        <f t="shared" si="52"/>
        <v>144.66666666666561</v>
      </c>
      <c r="S283" s="872">
        <f t="shared" si="52"/>
        <v>152.44444444444389</v>
      </c>
      <c r="T283" s="872">
        <f t="shared" si="52"/>
        <v>124.44444444444356</v>
      </c>
      <c r="U283" s="872">
        <f t="shared" si="50"/>
        <v>136.8888888888896</v>
      </c>
      <c r="V283" s="872">
        <f t="shared" si="50"/>
        <v>144.66666666666561</v>
      </c>
      <c r="W283" s="872">
        <f t="shared" si="50"/>
        <v>116.66666666666703</v>
      </c>
      <c r="X283" s="872">
        <f t="shared" si="50"/>
        <v>129.11111111111131</v>
      </c>
      <c r="Y283" s="872">
        <f t="shared" si="50"/>
        <v>136.8888888888896</v>
      </c>
      <c r="Z283" s="872">
        <f t="shared" si="50"/>
        <v>108.88888888888914</v>
      </c>
      <c r="AA283" s="872">
        <f t="shared" si="50"/>
        <v>121.33333333333303</v>
      </c>
      <c r="AB283" s="872">
        <f t="shared" si="50"/>
        <v>129.11111111111131</v>
      </c>
      <c r="AC283" s="872">
        <f t="shared" si="50"/>
        <v>101.11111111111086</v>
      </c>
      <c r="AD283" s="872">
        <f t="shared" si="50"/>
        <v>113.55555555555526</v>
      </c>
      <c r="AE283" s="872">
        <f t="shared" si="50"/>
        <v>121.33333333333303</v>
      </c>
      <c r="AF283" s="872">
        <f t="shared" si="50"/>
        <v>93.333333333333712</v>
      </c>
      <c r="AG283" s="872">
        <f t="shared" si="50"/>
        <v>105.7777777777779</v>
      </c>
      <c r="AH283" s="872">
        <f t="shared" si="50"/>
        <v>113.55555555555526</v>
      </c>
      <c r="AI283" s="872">
        <f t="shared" si="50"/>
        <v>85.555555555555429</v>
      </c>
      <c r="AJ283" s="872">
        <f t="shared" si="50"/>
        <v>98.000000000000455</v>
      </c>
      <c r="AK283" s="872">
        <f t="shared" si="51"/>
        <v>105.7777777777779</v>
      </c>
    </row>
    <row r="284" spans="1:37" ht="13.5" thickBot="1">
      <c r="A284" s="868"/>
      <c r="B284" s="868"/>
      <c r="C284" s="868"/>
      <c r="D284" s="873">
        <f t="shared" si="47"/>
        <v>0.78055555555555334</v>
      </c>
      <c r="E284" s="872">
        <f t="shared" si="52"/>
        <v>218.55555555555605</v>
      </c>
      <c r="F284" s="872">
        <f t="shared" si="52"/>
        <v>231.04444444444576</v>
      </c>
      <c r="G284" s="872">
        <f t="shared" si="52"/>
        <v>238.8499999999988</v>
      </c>
      <c r="H284" s="872">
        <f t="shared" si="52"/>
        <v>202.94444444444395</v>
      </c>
      <c r="I284" s="872">
        <f t="shared" si="52"/>
        <v>215.43333333333302</v>
      </c>
      <c r="J284" s="872">
        <f t="shared" si="52"/>
        <v>223.23888888888939</v>
      </c>
      <c r="K284" s="872">
        <f t="shared" si="52"/>
        <v>187.33333333333408</v>
      </c>
      <c r="L284" s="872">
        <f t="shared" si="52"/>
        <v>199.82222222222242</v>
      </c>
      <c r="M284" s="872">
        <f t="shared" si="52"/>
        <v>207.62777777777848</v>
      </c>
      <c r="N284" s="872">
        <f t="shared" si="52"/>
        <v>140.5</v>
      </c>
      <c r="O284" s="872">
        <f t="shared" si="52"/>
        <v>152.98888888888834</v>
      </c>
      <c r="P284" s="872">
        <f t="shared" si="52"/>
        <v>160.79444444444439</v>
      </c>
      <c r="Q284" s="872">
        <f t="shared" si="52"/>
        <v>132.69444444444395</v>
      </c>
      <c r="R284" s="872">
        <f t="shared" si="52"/>
        <v>145.18333333333229</v>
      </c>
      <c r="S284" s="872">
        <f t="shared" si="52"/>
        <v>152.98888888888834</v>
      </c>
      <c r="T284" s="872">
        <f t="shared" si="52"/>
        <v>124.888888888888</v>
      </c>
      <c r="U284" s="872">
        <f t="shared" si="50"/>
        <v>137.37777777777848</v>
      </c>
      <c r="V284" s="872">
        <f t="shared" si="50"/>
        <v>145.18333333333229</v>
      </c>
      <c r="W284" s="872">
        <f t="shared" si="50"/>
        <v>117.0833333333337</v>
      </c>
      <c r="X284" s="872">
        <f t="shared" si="50"/>
        <v>129.57222222222242</v>
      </c>
      <c r="Y284" s="872">
        <f t="shared" si="50"/>
        <v>137.37777777777848</v>
      </c>
      <c r="Z284" s="872">
        <f t="shared" si="50"/>
        <v>109.27777777777803</v>
      </c>
      <c r="AA284" s="872">
        <f t="shared" si="50"/>
        <v>121.76666666666637</v>
      </c>
      <c r="AB284" s="872">
        <f t="shared" si="50"/>
        <v>129.57222222222242</v>
      </c>
      <c r="AC284" s="872">
        <f t="shared" si="50"/>
        <v>101.47222222222197</v>
      </c>
      <c r="AD284" s="872">
        <f t="shared" si="50"/>
        <v>113.96111111111081</v>
      </c>
      <c r="AE284" s="872">
        <f t="shared" si="50"/>
        <v>121.76666666666637</v>
      </c>
      <c r="AF284" s="872">
        <f t="shared" si="50"/>
        <v>93.666666666667041</v>
      </c>
      <c r="AG284" s="872">
        <f t="shared" si="50"/>
        <v>106.15555555555568</v>
      </c>
      <c r="AH284" s="872">
        <f t="shared" si="50"/>
        <v>113.96111111111081</v>
      </c>
      <c r="AI284" s="872">
        <f t="shared" si="50"/>
        <v>85.861111111110986</v>
      </c>
      <c r="AJ284" s="872">
        <f t="shared" si="50"/>
        <v>98.350000000000449</v>
      </c>
      <c r="AK284" s="872">
        <f t="shared" si="51"/>
        <v>106.15555555555568</v>
      </c>
    </row>
    <row r="285" spans="1:37" ht="13.5" thickBot="1">
      <c r="A285" s="868"/>
      <c r="B285" s="868"/>
      <c r="C285" s="868"/>
      <c r="D285" s="873">
        <f t="shared" si="47"/>
        <v>0.78333333333333111</v>
      </c>
      <c r="E285" s="872">
        <f t="shared" si="52"/>
        <v>219.33333333333383</v>
      </c>
      <c r="F285" s="872">
        <f t="shared" si="52"/>
        <v>231.86666666666798</v>
      </c>
      <c r="G285" s="872">
        <f t="shared" si="52"/>
        <v>239.69999999999879</v>
      </c>
      <c r="H285" s="872">
        <f t="shared" si="52"/>
        <v>203.66666666666617</v>
      </c>
      <c r="I285" s="872">
        <f t="shared" si="52"/>
        <v>216.1999999999997</v>
      </c>
      <c r="J285" s="872">
        <f t="shared" si="52"/>
        <v>224.03333333333384</v>
      </c>
      <c r="K285" s="872">
        <f t="shared" si="52"/>
        <v>188.00000000000074</v>
      </c>
      <c r="L285" s="872">
        <f t="shared" si="52"/>
        <v>200.53333333333353</v>
      </c>
      <c r="M285" s="872">
        <f t="shared" si="52"/>
        <v>208.36666666666736</v>
      </c>
      <c r="N285" s="872">
        <f t="shared" si="52"/>
        <v>141</v>
      </c>
      <c r="O285" s="872">
        <f t="shared" si="52"/>
        <v>153.53333333333279</v>
      </c>
      <c r="P285" s="872">
        <f t="shared" si="52"/>
        <v>161.36666666666662</v>
      </c>
      <c r="Q285" s="872">
        <f t="shared" si="52"/>
        <v>133.16666666666617</v>
      </c>
      <c r="R285" s="872">
        <f t="shared" si="52"/>
        <v>145.69999999999897</v>
      </c>
      <c r="S285" s="872">
        <f t="shared" si="52"/>
        <v>153.53333333333279</v>
      </c>
      <c r="T285" s="872">
        <f t="shared" si="52"/>
        <v>125.33333333333245</v>
      </c>
      <c r="U285" s="872">
        <f t="shared" si="50"/>
        <v>137.86666666666736</v>
      </c>
      <c r="V285" s="872">
        <f t="shared" si="50"/>
        <v>145.69999999999897</v>
      </c>
      <c r="W285" s="872">
        <f t="shared" si="50"/>
        <v>117.50000000000037</v>
      </c>
      <c r="X285" s="872">
        <f t="shared" si="50"/>
        <v>130.03333333333353</v>
      </c>
      <c r="Y285" s="872">
        <f t="shared" si="50"/>
        <v>137.86666666666736</v>
      </c>
      <c r="Z285" s="872">
        <f t="shared" si="50"/>
        <v>109.66666666666691</v>
      </c>
      <c r="AA285" s="872">
        <f t="shared" si="50"/>
        <v>122.1999999999997</v>
      </c>
      <c r="AB285" s="872">
        <f t="shared" si="50"/>
        <v>130.03333333333353</v>
      </c>
      <c r="AC285" s="872">
        <f t="shared" si="50"/>
        <v>101.83333333333309</v>
      </c>
      <c r="AD285" s="872">
        <f t="shared" si="50"/>
        <v>114.36666666666636</v>
      </c>
      <c r="AE285" s="872">
        <f t="shared" si="50"/>
        <v>122.1999999999997</v>
      </c>
      <c r="AF285" s="872">
        <f t="shared" si="50"/>
        <v>94.000000000000369</v>
      </c>
      <c r="AG285" s="872">
        <f t="shared" si="50"/>
        <v>106.53333333333346</v>
      </c>
      <c r="AH285" s="872">
        <f t="shared" si="50"/>
        <v>114.36666666666636</v>
      </c>
      <c r="AI285" s="872">
        <f t="shared" si="50"/>
        <v>86.166666666666544</v>
      </c>
      <c r="AJ285" s="872">
        <f t="shared" si="50"/>
        <v>98.700000000000443</v>
      </c>
      <c r="AK285" s="872">
        <f t="shared" si="51"/>
        <v>106.53333333333346</v>
      </c>
    </row>
    <row r="286" spans="1:37" ht="13.5" thickBot="1">
      <c r="A286" s="868"/>
      <c r="B286" s="868"/>
      <c r="C286" s="868"/>
      <c r="D286" s="873">
        <f t="shared" si="47"/>
        <v>0.78611111111110887</v>
      </c>
      <c r="E286" s="872">
        <f t="shared" si="52"/>
        <v>220.1111111111116</v>
      </c>
      <c r="F286" s="872">
        <f t="shared" si="52"/>
        <v>232.6888888888902</v>
      </c>
      <c r="G286" s="872">
        <f t="shared" si="52"/>
        <v>240.54999999999879</v>
      </c>
      <c r="H286" s="872">
        <f t="shared" si="52"/>
        <v>204.3888888888884</v>
      </c>
      <c r="I286" s="872">
        <f t="shared" si="52"/>
        <v>216.96666666666638</v>
      </c>
      <c r="J286" s="872">
        <f t="shared" si="52"/>
        <v>224.82777777777829</v>
      </c>
      <c r="K286" s="872">
        <f t="shared" si="52"/>
        <v>188.6666666666674</v>
      </c>
      <c r="L286" s="872">
        <f t="shared" si="52"/>
        <v>201.24444444444464</v>
      </c>
      <c r="M286" s="872">
        <f t="shared" si="52"/>
        <v>209.10555555555624</v>
      </c>
      <c r="N286" s="872">
        <f t="shared" si="52"/>
        <v>141.5</v>
      </c>
      <c r="O286" s="872">
        <f t="shared" si="52"/>
        <v>154.07777777777724</v>
      </c>
      <c r="P286" s="872">
        <f t="shared" si="52"/>
        <v>161.93888888888884</v>
      </c>
      <c r="Q286" s="872">
        <f t="shared" si="52"/>
        <v>133.6388888888884</v>
      </c>
      <c r="R286" s="872">
        <f t="shared" si="52"/>
        <v>146.21666666666565</v>
      </c>
      <c r="S286" s="872">
        <f t="shared" si="52"/>
        <v>154.07777777777724</v>
      </c>
      <c r="T286" s="872">
        <f t="shared" si="52"/>
        <v>125.77777777777689</v>
      </c>
      <c r="U286" s="872">
        <f t="shared" si="50"/>
        <v>138.35555555555624</v>
      </c>
      <c r="V286" s="872">
        <f t="shared" si="50"/>
        <v>146.21666666666565</v>
      </c>
      <c r="W286" s="872">
        <f t="shared" si="50"/>
        <v>117.91666666666704</v>
      </c>
      <c r="X286" s="872">
        <f t="shared" si="50"/>
        <v>130.49444444444464</v>
      </c>
      <c r="Y286" s="872">
        <f t="shared" si="50"/>
        <v>138.35555555555624</v>
      </c>
      <c r="Z286" s="872">
        <f t="shared" si="50"/>
        <v>110.0555555555558</v>
      </c>
      <c r="AA286" s="872">
        <f t="shared" si="50"/>
        <v>122.63333333333304</v>
      </c>
      <c r="AB286" s="872">
        <f t="shared" si="50"/>
        <v>130.49444444444464</v>
      </c>
      <c r="AC286" s="872">
        <f t="shared" si="50"/>
        <v>102.1944444444442</v>
      </c>
      <c r="AD286" s="872">
        <f t="shared" si="50"/>
        <v>114.77222222222191</v>
      </c>
      <c r="AE286" s="872">
        <f t="shared" si="50"/>
        <v>122.63333333333304</v>
      </c>
      <c r="AF286" s="872">
        <f t="shared" si="50"/>
        <v>94.333333333333698</v>
      </c>
      <c r="AG286" s="872">
        <f t="shared" si="50"/>
        <v>106.91111111111124</v>
      </c>
      <c r="AH286" s="872">
        <f t="shared" si="50"/>
        <v>114.77222222222191</v>
      </c>
      <c r="AI286" s="872">
        <f t="shared" si="50"/>
        <v>86.472222222222101</v>
      </c>
      <c r="AJ286" s="872">
        <f t="shared" si="50"/>
        <v>99.050000000000438</v>
      </c>
      <c r="AK286" s="872">
        <f t="shared" si="51"/>
        <v>106.91111111111124</v>
      </c>
    </row>
    <row r="287" spans="1:37" ht="13.5" thickBot="1">
      <c r="A287" s="868"/>
      <c r="B287" s="868"/>
      <c r="C287" s="868"/>
      <c r="D287" s="873">
        <f t="shared" si="47"/>
        <v>0.78888888888888664</v>
      </c>
      <c r="E287" s="872">
        <f t="shared" si="52"/>
        <v>220.88888888888937</v>
      </c>
      <c r="F287" s="872">
        <f t="shared" si="52"/>
        <v>233.51111111111243</v>
      </c>
      <c r="G287" s="872">
        <f t="shared" si="52"/>
        <v>241.39999999999878</v>
      </c>
      <c r="H287" s="872">
        <f t="shared" si="52"/>
        <v>205.11111111111063</v>
      </c>
      <c r="I287" s="872">
        <f t="shared" si="52"/>
        <v>217.73333333333306</v>
      </c>
      <c r="J287" s="872">
        <f t="shared" si="52"/>
        <v>225.62222222222275</v>
      </c>
      <c r="K287" s="872">
        <f t="shared" si="52"/>
        <v>189.33333333333405</v>
      </c>
      <c r="L287" s="872">
        <f t="shared" si="52"/>
        <v>201.95555555555575</v>
      </c>
      <c r="M287" s="872">
        <f t="shared" si="52"/>
        <v>209.84444444444512</v>
      </c>
      <c r="N287" s="872">
        <f t="shared" si="52"/>
        <v>142</v>
      </c>
      <c r="O287" s="872">
        <f t="shared" si="52"/>
        <v>154.62222222222169</v>
      </c>
      <c r="P287" s="872">
        <f t="shared" si="52"/>
        <v>162.51111111111106</v>
      </c>
      <c r="Q287" s="872">
        <f t="shared" si="52"/>
        <v>134.11111111111063</v>
      </c>
      <c r="R287" s="872">
        <f t="shared" si="52"/>
        <v>146.73333333333233</v>
      </c>
      <c r="S287" s="872">
        <f t="shared" si="52"/>
        <v>154.62222222222169</v>
      </c>
      <c r="T287" s="872">
        <f t="shared" si="52"/>
        <v>126.22222222222133</v>
      </c>
      <c r="U287" s="872">
        <f t="shared" ref="U287:U296" si="53">U288-(U$363/360)</f>
        <v>138.84444444444512</v>
      </c>
      <c r="V287" s="872">
        <f t="shared" ref="V287:V296" si="54">V288-(V$363/360)</f>
        <v>146.73333333333233</v>
      </c>
      <c r="W287" s="872">
        <f t="shared" ref="W287:W296" si="55">W288-(W$363/360)</f>
        <v>118.33333333333371</v>
      </c>
      <c r="X287" s="872">
        <f t="shared" ref="X287:X296" si="56">X288-(X$363/360)</f>
        <v>130.95555555555575</v>
      </c>
      <c r="Y287" s="872">
        <f t="shared" ref="Y287:Y296" si="57">Y288-(Y$363/360)</f>
        <v>138.84444444444512</v>
      </c>
      <c r="Z287" s="872">
        <f t="shared" ref="Z287:Z296" si="58">Z288-(Z$363/360)</f>
        <v>110.44444444444468</v>
      </c>
      <c r="AA287" s="872">
        <f t="shared" ref="AA287:AA296" si="59">AA288-(AA$363/360)</f>
        <v>123.06666666666638</v>
      </c>
      <c r="AB287" s="872">
        <f t="shared" ref="AB287:AB296" si="60">AB288-(AB$363/360)</f>
        <v>130.95555555555575</v>
      </c>
      <c r="AC287" s="872">
        <f t="shared" ref="AC287:AC296" si="61">AC288-(AC$363/360)</f>
        <v>102.55555555555532</v>
      </c>
      <c r="AD287" s="872">
        <f t="shared" ref="AD287:AD296" si="62">AD288-(AD$363/360)</f>
        <v>115.17777777777746</v>
      </c>
      <c r="AE287" s="872">
        <f t="shared" ref="AE287:AE296" si="63">AE288-(AE$363/360)</f>
        <v>123.06666666666638</v>
      </c>
      <c r="AF287" s="872">
        <f t="shared" ref="AF287:AF296" si="64">AF288-(AF$363/360)</f>
        <v>94.666666666667027</v>
      </c>
      <c r="AG287" s="872">
        <f t="shared" ref="AG287:AG296" si="65">AG288-(AG$363/360)</f>
        <v>107.28888888888902</v>
      </c>
      <c r="AH287" s="872">
        <f t="shared" ref="AH287:AH296" si="66">AH288-(AH$363/360)</f>
        <v>115.17777777777746</v>
      </c>
      <c r="AI287" s="872">
        <f t="shared" ref="AI287:AI296" si="67">AI288-(AI$363/360)</f>
        <v>86.777777777777658</v>
      </c>
      <c r="AJ287" s="872">
        <f t="shared" ref="AJ287:AJ296" si="68">AJ288-(AJ$363/360)</f>
        <v>99.400000000000432</v>
      </c>
      <c r="AK287" s="872">
        <f t="shared" si="51"/>
        <v>107.28888888888902</v>
      </c>
    </row>
    <row r="288" spans="1:37" ht="13.5" thickBot="1">
      <c r="A288" s="868"/>
      <c r="B288" s="868"/>
      <c r="C288" s="868"/>
      <c r="D288" s="873">
        <f t="shared" si="47"/>
        <v>0.79166666666666441</v>
      </c>
      <c r="E288" s="872">
        <f t="shared" si="52"/>
        <v>221.66666666666714</v>
      </c>
      <c r="F288" s="872">
        <f t="shared" si="52"/>
        <v>234.33333333333465</v>
      </c>
      <c r="G288" s="872">
        <f t="shared" si="52"/>
        <v>242.24999999999878</v>
      </c>
      <c r="H288" s="872">
        <f t="shared" si="52"/>
        <v>205.83333333333286</v>
      </c>
      <c r="I288" s="872">
        <f t="shared" si="52"/>
        <v>218.49999999999974</v>
      </c>
      <c r="J288" s="872">
        <f t="shared" si="52"/>
        <v>226.4166666666672</v>
      </c>
      <c r="K288" s="872">
        <f t="shared" si="52"/>
        <v>190.00000000000071</v>
      </c>
      <c r="L288" s="872">
        <f t="shared" si="52"/>
        <v>202.66666666666686</v>
      </c>
      <c r="M288" s="872">
        <f t="shared" si="52"/>
        <v>210.583333333334</v>
      </c>
      <c r="N288" s="872">
        <f t="shared" si="52"/>
        <v>142.5</v>
      </c>
      <c r="O288" s="872">
        <f t="shared" si="52"/>
        <v>155.16666666666615</v>
      </c>
      <c r="P288" s="872">
        <f t="shared" si="52"/>
        <v>163.08333333333329</v>
      </c>
      <c r="Q288" s="872">
        <f t="shared" si="52"/>
        <v>134.58333333333286</v>
      </c>
      <c r="R288" s="872">
        <f t="shared" si="52"/>
        <v>147.24999999999901</v>
      </c>
      <c r="S288" s="872">
        <f t="shared" si="52"/>
        <v>155.16666666666615</v>
      </c>
      <c r="T288" s="872">
        <f t="shared" si="52"/>
        <v>126.66666666666578</v>
      </c>
      <c r="U288" s="872">
        <f t="shared" si="53"/>
        <v>139.333333333334</v>
      </c>
      <c r="V288" s="872">
        <f t="shared" si="54"/>
        <v>147.24999999999901</v>
      </c>
      <c r="W288" s="872">
        <f t="shared" si="55"/>
        <v>118.75000000000038</v>
      </c>
      <c r="X288" s="872">
        <f t="shared" si="56"/>
        <v>131.41666666666686</v>
      </c>
      <c r="Y288" s="872">
        <f t="shared" si="57"/>
        <v>139.333333333334</v>
      </c>
      <c r="Z288" s="872">
        <f t="shared" si="58"/>
        <v>110.83333333333357</v>
      </c>
      <c r="AA288" s="872">
        <f t="shared" si="59"/>
        <v>123.49999999999972</v>
      </c>
      <c r="AB288" s="872">
        <f t="shared" si="60"/>
        <v>131.41666666666686</v>
      </c>
      <c r="AC288" s="872">
        <f t="shared" si="61"/>
        <v>102.91666666666643</v>
      </c>
      <c r="AD288" s="872">
        <f t="shared" si="62"/>
        <v>115.58333333333302</v>
      </c>
      <c r="AE288" s="872">
        <f t="shared" si="63"/>
        <v>123.49999999999972</v>
      </c>
      <c r="AF288" s="872">
        <f t="shared" si="64"/>
        <v>95.000000000000355</v>
      </c>
      <c r="AG288" s="872">
        <f t="shared" si="65"/>
        <v>107.6666666666668</v>
      </c>
      <c r="AH288" s="872">
        <f t="shared" si="66"/>
        <v>115.58333333333302</v>
      </c>
      <c r="AI288" s="872">
        <f t="shared" si="67"/>
        <v>87.083333333333215</v>
      </c>
      <c r="AJ288" s="872">
        <f t="shared" si="68"/>
        <v>99.750000000000426</v>
      </c>
      <c r="AK288" s="872">
        <f t="shared" si="51"/>
        <v>107.6666666666668</v>
      </c>
    </row>
    <row r="289" spans="1:37" ht="13.5" thickBot="1">
      <c r="A289" s="868"/>
      <c r="B289" s="868"/>
      <c r="C289" s="868"/>
      <c r="D289" s="873">
        <f t="shared" si="47"/>
        <v>0.79444444444444218</v>
      </c>
      <c r="E289" s="872">
        <f t="shared" si="52"/>
        <v>222.44444444444491</v>
      </c>
      <c r="F289" s="872">
        <f t="shared" si="52"/>
        <v>235.15555555555687</v>
      </c>
      <c r="G289" s="872">
        <f t="shared" si="52"/>
        <v>243.09999999999877</v>
      </c>
      <c r="H289" s="872">
        <f t="shared" si="52"/>
        <v>206.55555555555509</v>
      </c>
      <c r="I289" s="872">
        <f t="shared" si="52"/>
        <v>219.26666666666642</v>
      </c>
      <c r="J289" s="872">
        <f t="shared" si="52"/>
        <v>227.21111111111165</v>
      </c>
      <c r="K289" s="872">
        <f t="shared" si="52"/>
        <v>190.66666666666737</v>
      </c>
      <c r="L289" s="872">
        <f t="shared" si="52"/>
        <v>203.37777777777796</v>
      </c>
      <c r="M289" s="872">
        <f t="shared" si="52"/>
        <v>211.32222222222288</v>
      </c>
      <c r="N289" s="872">
        <f t="shared" si="52"/>
        <v>143</v>
      </c>
      <c r="O289" s="872">
        <f t="shared" si="52"/>
        <v>155.7111111111106</v>
      </c>
      <c r="P289" s="872">
        <f t="shared" si="52"/>
        <v>163.65555555555551</v>
      </c>
      <c r="Q289" s="872">
        <f t="shared" si="52"/>
        <v>135.05555555555509</v>
      </c>
      <c r="R289" s="872">
        <f t="shared" si="52"/>
        <v>147.76666666666569</v>
      </c>
      <c r="S289" s="872">
        <f t="shared" si="52"/>
        <v>155.7111111111106</v>
      </c>
      <c r="T289" s="872">
        <f t="shared" si="52"/>
        <v>127.11111111111022</v>
      </c>
      <c r="U289" s="872">
        <f t="shared" si="53"/>
        <v>139.82222222222288</v>
      </c>
      <c r="V289" s="872">
        <f t="shared" si="54"/>
        <v>147.76666666666569</v>
      </c>
      <c r="W289" s="872">
        <f t="shared" si="55"/>
        <v>119.16666666666706</v>
      </c>
      <c r="X289" s="872">
        <f t="shared" si="56"/>
        <v>131.87777777777796</v>
      </c>
      <c r="Y289" s="872">
        <f t="shared" si="57"/>
        <v>139.82222222222288</v>
      </c>
      <c r="Z289" s="872">
        <f t="shared" si="58"/>
        <v>111.22222222222246</v>
      </c>
      <c r="AA289" s="872">
        <f t="shared" si="59"/>
        <v>123.93333333333305</v>
      </c>
      <c r="AB289" s="872">
        <f t="shared" si="60"/>
        <v>131.87777777777796</v>
      </c>
      <c r="AC289" s="872">
        <f t="shared" si="61"/>
        <v>103.27777777777754</v>
      </c>
      <c r="AD289" s="872">
        <f t="shared" si="62"/>
        <v>115.98888888888857</v>
      </c>
      <c r="AE289" s="872">
        <f t="shared" si="63"/>
        <v>123.93333333333305</v>
      </c>
      <c r="AF289" s="872">
        <f t="shared" si="64"/>
        <v>95.333333333333684</v>
      </c>
      <c r="AG289" s="872">
        <f t="shared" si="65"/>
        <v>108.04444444444458</v>
      </c>
      <c r="AH289" s="872">
        <f t="shared" si="66"/>
        <v>115.98888888888857</v>
      </c>
      <c r="AI289" s="872">
        <f t="shared" si="67"/>
        <v>87.388888888888772</v>
      </c>
      <c r="AJ289" s="872">
        <f t="shared" si="68"/>
        <v>100.10000000000042</v>
      </c>
      <c r="AK289" s="872">
        <f t="shared" si="51"/>
        <v>108.04444444444458</v>
      </c>
    </row>
    <row r="290" spans="1:37" ht="13.5" thickBot="1">
      <c r="A290" s="868"/>
      <c r="B290" s="868"/>
      <c r="C290" s="868"/>
      <c r="D290" s="873">
        <f t="shared" si="47"/>
        <v>0.79722222222221995</v>
      </c>
      <c r="E290" s="872">
        <f t="shared" si="52"/>
        <v>223.22222222222268</v>
      </c>
      <c r="F290" s="872">
        <f t="shared" si="52"/>
        <v>235.9777777777791</v>
      </c>
      <c r="G290" s="872">
        <f t="shared" si="52"/>
        <v>243.94999999999877</v>
      </c>
      <c r="H290" s="872">
        <f t="shared" si="52"/>
        <v>207.27777777777732</v>
      </c>
      <c r="I290" s="872">
        <f t="shared" si="52"/>
        <v>220.0333333333331</v>
      </c>
      <c r="J290" s="872">
        <f t="shared" si="52"/>
        <v>228.0055555555561</v>
      </c>
      <c r="K290" s="872">
        <f t="shared" si="52"/>
        <v>191.33333333333402</v>
      </c>
      <c r="L290" s="872">
        <f t="shared" si="52"/>
        <v>204.08888888888907</v>
      </c>
      <c r="M290" s="872">
        <f t="shared" si="52"/>
        <v>212.06111111111176</v>
      </c>
      <c r="N290" s="872">
        <f t="shared" si="52"/>
        <v>143.5</v>
      </c>
      <c r="O290" s="872">
        <f t="shared" si="52"/>
        <v>156.25555555555505</v>
      </c>
      <c r="P290" s="872">
        <f t="shared" si="52"/>
        <v>164.22777777777773</v>
      </c>
      <c r="Q290" s="872">
        <f t="shared" si="52"/>
        <v>135.52777777777732</v>
      </c>
      <c r="R290" s="872">
        <f t="shared" si="52"/>
        <v>148.28333333333237</v>
      </c>
      <c r="S290" s="872">
        <f t="shared" si="52"/>
        <v>156.25555555555505</v>
      </c>
      <c r="T290" s="872">
        <f t="shared" si="52"/>
        <v>127.55555555555466</v>
      </c>
      <c r="U290" s="872">
        <f t="shared" si="53"/>
        <v>140.31111111111176</v>
      </c>
      <c r="V290" s="872">
        <f t="shared" si="54"/>
        <v>148.28333333333237</v>
      </c>
      <c r="W290" s="872">
        <f t="shared" si="55"/>
        <v>119.58333333333373</v>
      </c>
      <c r="X290" s="872">
        <f t="shared" si="56"/>
        <v>132.33888888888907</v>
      </c>
      <c r="Y290" s="872">
        <f t="shared" si="57"/>
        <v>140.31111111111176</v>
      </c>
      <c r="Z290" s="872">
        <f t="shared" si="58"/>
        <v>111.61111111111134</v>
      </c>
      <c r="AA290" s="872">
        <f t="shared" si="59"/>
        <v>124.36666666666639</v>
      </c>
      <c r="AB290" s="872">
        <f t="shared" si="60"/>
        <v>132.33888888888907</v>
      </c>
      <c r="AC290" s="872">
        <f t="shared" si="61"/>
        <v>103.63888888888866</v>
      </c>
      <c r="AD290" s="872">
        <f t="shared" si="62"/>
        <v>116.39444444444412</v>
      </c>
      <c r="AE290" s="872">
        <f t="shared" si="63"/>
        <v>124.36666666666639</v>
      </c>
      <c r="AF290" s="872">
        <f t="shared" si="64"/>
        <v>95.666666666667012</v>
      </c>
      <c r="AG290" s="872">
        <f t="shared" si="65"/>
        <v>108.42222222222236</v>
      </c>
      <c r="AH290" s="872">
        <f t="shared" si="66"/>
        <v>116.39444444444412</v>
      </c>
      <c r="AI290" s="872">
        <f t="shared" si="67"/>
        <v>87.694444444444329</v>
      </c>
      <c r="AJ290" s="872">
        <f t="shared" si="68"/>
        <v>100.45000000000041</v>
      </c>
      <c r="AK290" s="872">
        <f t="shared" si="51"/>
        <v>108.42222222222236</v>
      </c>
    </row>
    <row r="291" spans="1:37" ht="13.5" thickBot="1">
      <c r="A291" s="868"/>
      <c r="B291" s="868"/>
      <c r="C291" s="868"/>
      <c r="D291" s="873">
        <f t="shared" si="47"/>
        <v>0.79999999999999771</v>
      </c>
      <c r="E291" s="872">
        <f t="shared" si="52"/>
        <v>224.00000000000045</v>
      </c>
      <c r="F291" s="872">
        <f t="shared" si="52"/>
        <v>236.80000000000132</v>
      </c>
      <c r="G291" s="872">
        <f t="shared" si="52"/>
        <v>244.79999999999876</v>
      </c>
      <c r="H291" s="872">
        <f t="shared" si="52"/>
        <v>207.99999999999955</v>
      </c>
      <c r="I291" s="872">
        <f t="shared" si="52"/>
        <v>220.79999999999978</v>
      </c>
      <c r="J291" s="872">
        <f t="shared" si="52"/>
        <v>228.80000000000055</v>
      </c>
      <c r="K291" s="872">
        <f t="shared" si="52"/>
        <v>192.00000000000068</v>
      </c>
      <c r="L291" s="872">
        <f t="shared" si="52"/>
        <v>204.80000000000018</v>
      </c>
      <c r="M291" s="872">
        <f t="shared" si="52"/>
        <v>212.80000000000064</v>
      </c>
      <c r="N291" s="872">
        <f t="shared" si="52"/>
        <v>144</v>
      </c>
      <c r="O291" s="872">
        <f t="shared" si="52"/>
        <v>156.7999999999995</v>
      </c>
      <c r="P291" s="872">
        <f t="shared" si="52"/>
        <v>164.79999999999995</v>
      </c>
      <c r="Q291" s="872">
        <f t="shared" si="52"/>
        <v>135.99999999999955</v>
      </c>
      <c r="R291" s="872">
        <f t="shared" si="52"/>
        <v>148.79999999999905</v>
      </c>
      <c r="S291" s="872">
        <f t="shared" si="52"/>
        <v>156.7999999999995</v>
      </c>
      <c r="T291" s="872">
        <f t="shared" si="52"/>
        <v>127.9999999999991</v>
      </c>
      <c r="U291" s="872">
        <f t="shared" si="53"/>
        <v>140.80000000000064</v>
      </c>
      <c r="V291" s="872">
        <f t="shared" si="54"/>
        <v>148.79999999999905</v>
      </c>
      <c r="W291" s="872">
        <f t="shared" si="55"/>
        <v>120.0000000000004</v>
      </c>
      <c r="X291" s="872">
        <f t="shared" si="56"/>
        <v>132.80000000000018</v>
      </c>
      <c r="Y291" s="872">
        <f t="shared" si="57"/>
        <v>140.80000000000064</v>
      </c>
      <c r="Z291" s="872">
        <f t="shared" si="58"/>
        <v>112.00000000000023</v>
      </c>
      <c r="AA291" s="872">
        <f t="shared" si="59"/>
        <v>124.79999999999973</v>
      </c>
      <c r="AB291" s="872">
        <f t="shared" si="60"/>
        <v>132.80000000000018</v>
      </c>
      <c r="AC291" s="872">
        <f t="shared" si="61"/>
        <v>103.99999999999977</v>
      </c>
      <c r="AD291" s="872">
        <f t="shared" si="62"/>
        <v>116.79999999999967</v>
      </c>
      <c r="AE291" s="872">
        <f t="shared" si="63"/>
        <v>124.79999999999973</v>
      </c>
      <c r="AF291" s="872">
        <f t="shared" si="64"/>
        <v>96.000000000000341</v>
      </c>
      <c r="AG291" s="872">
        <f t="shared" si="65"/>
        <v>108.80000000000014</v>
      </c>
      <c r="AH291" s="872">
        <f t="shared" si="66"/>
        <v>116.79999999999967</v>
      </c>
      <c r="AI291" s="872">
        <f t="shared" si="67"/>
        <v>87.999999999999886</v>
      </c>
      <c r="AJ291" s="872">
        <f t="shared" si="68"/>
        <v>100.80000000000041</v>
      </c>
      <c r="AK291" s="872">
        <f t="shared" si="51"/>
        <v>108.80000000000014</v>
      </c>
    </row>
    <row r="292" spans="1:37" ht="13.5" thickBot="1">
      <c r="A292" s="868"/>
      <c r="B292" s="868"/>
      <c r="C292" s="868"/>
      <c r="D292" s="873">
        <f t="shared" si="47"/>
        <v>0.80277777777777548</v>
      </c>
      <c r="E292" s="872">
        <f t="shared" si="52"/>
        <v>224.77777777777823</v>
      </c>
      <c r="F292" s="872">
        <f t="shared" si="52"/>
        <v>237.62222222222354</v>
      </c>
      <c r="G292" s="872">
        <f t="shared" si="52"/>
        <v>245.64999999999876</v>
      </c>
      <c r="H292" s="872">
        <f t="shared" si="52"/>
        <v>208.72222222222177</v>
      </c>
      <c r="I292" s="872">
        <f t="shared" si="52"/>
        <v>221.56666666666646</v>
      </c>
      <c r="J292" s="872">
        <f t="shared" si="52"/>
        <v>229.594444444445</v>
      </c>
      <c r="K292" s="872">
        <f t="shared" si="52"/>
        <v>192.66666666666734</v>
      </c>
      <c r="L292" s="872">
        <f t="shared" si="52"/>
        <v>205.51111111111129</v>
      </c>
      <c r="M292" s="872">
        <f t="shared" si="52"/>
        <v>213.53888888888952</v>
      </c>
      <c r="N292" s="872">
        <f t="shared" si="52"/>
        <v>144.5</v>
      </c>
      <c r="O292" s="872">
        <f t="shared" si="52"/>
        <v>157.34444444444395</v>
      </c>
      <c r="P292" s="872">
        <f t="shared" si="52"/>
        <v>165.37222222222218</v>
      </c>
      <c r="Q292" s="872">
        <f t="shared" si="52"/>
        <v>136.47222222222177</v>
      </c>
      <c r="R292" s="872">
        <f t="shared" si="52"/>
        <v>149.31666666666572</v>
      </c>
      <c r="S292" s="872">
        <f t="shared" si="52"/>
        <v>157.34444444444395</v>
      </c>
      <c r="T292" s="872">
        <f t="shared" si="52"/>
        <v>128.44444444444355</v>
      </c>
      <c r="U292" s="872">
        <f t="shared" si="53"/>
        <v>141.28888888888952</v>
      </c>
      <c r="V292" s="872">
        <f t="shared" si="54"/>
        <v>149.31666666666572</v>
      </c>
      <c r="W292" s="872">
        <f t="shared" si="55"/>
        <v>120.41666666666707</v>
      </c>
      <c r="X292" s="872">
        <f t="shared" si="56"/>
        <v>133.26111111111129</v>
      </c>
      <c r="Y292" s="872">
        <f t="shared" si="57"/>
        <v>141.28888888888952</v>
      </c>
      <c r="Z292" s="872">
        <f t="shared" si="58"/>
        <v>112.38888888888911</v>
      </c>
      <c r="AA292" s="872">
        <f t="shared" si="59"/>
        <v>125.23333333333306</v>
      </c>
      <c r="AB292" s="872">
        <f t="shared" si="60"/>
        <v>133.26111111111129</v>
      </c>
      <c r="AC292" s="872">
        <f t="shared" si="61"/>
        <v>104.36111111111089</v>
      </c>
      <c r="AD292" s="872">
        <f t="shared" si="62"/>
        <v>117.20555555555522</v>
      </c>
      <c r="AE292" s="872">
        <f t="shared" si="63"/>
        <v>125.23333333333306</v>
      </c>
      <c r="AF292" s="872">
        <f t="shared" si="64"/>
        <v>96.33333333333367</v>
      </c>
      <c r="AG292" s="872">
        <f t="shared" si="65"/>
        <v>109.17777777777792</v>
      </c>
      <c r="AH292" s="872">
        <f t="shared" si="66"/>
        <v>117.20555555555522</v>
      </c>
      <c r="AI292" s="872">
        <f t="shared" si="67"/>
        <v>88.305555555555443</v>
      </c>
      <c r="AJ292" s="872">
        <f t="shared" si="68"/>
        <v>101.1500000000004</v>
      </c>
      <c r="AK292" s="872">
        <f t="shared" si="51"/>
        <v>109.17777777777792</v>
      </c>
    </row>
    <row r="293" spans="1:37" ht="13.5" thickBot="1">
      <c r="A293" s="868"/>
      <c r="B293" s="868"/>
      <c r="C293" s="868"/>
      <c r="D293" s="873">
        <f t="shared" si="47"/>
        <v>0.80555555555555325</v>
      </c>
      <c r="E293" s="872">
        <f t="shared" si="52"/>
        <v>225.555555555556</v>
      </c>
      <c r="F293" s="872">
        <f t="shared" si="52"/>
        <v>238.44444444444576</v>
      </c>
      <c r="G293" s="872">
        <f t="shared" si="52"/>
        <v>246.49999999999875</v>
      </c>
      <c r="H293" s="872">
        <f t="shared" si="52"/>
        <v>209.444444444444</v>
      </c>
      <c r="I293" s="872">
        <f t="shared" si="52"/>
        <v>222.33333333333314</v>
      </c>
      <c r="J293" s="872">
        <f t="shared" si="52"/>
        <v>230.38888888888945</v>
      </c>
      <c r="K293" s="872">
        <f t="shared" si="52"/>
        <v>193.333333333334</v>
      </c>
      <c r="L293" s="872">
        <f t="shared" si="52"/>
        <v>206.2222222222224</v>
      </c>
      <c r="M293" s="872">
        <f t="shared" si="52"/>
        <v>214.2777777777784</v>
      </c>
      <c r="N293" s="872">
        <f t="shared" si="52"/>
        <v>145</v>
      </c>
      <c r="O293" s="872">
        <f t="shared" si="52"/>
        <v>157.8888888888884</v>
      </c>
      <c r="P293" s="872">
        <f t="shared" si="52"/>
        <v>165.9444444444444</v>
      </c>
      <c r="Q293" s="872">
        <f t="shared" si="52"/>
        <v>136.944444444444</v>
      </c>
      <c r="R293" s="872">
        <f t="shared" si="52"/>
        <v>149.8333333333324</v>
      </c>
      <c r="S293" s="872">
        <f t="shared" si="52"/>
        <v>157.8888888888884</v>
      </c>
      <c r="T293" s="872">
        <f t="shared" si="52"/>
        <v>128.888888888888</v>
      </c>
      <c r="U293" s="872">
        <f t="shared" si="53"/>
        <v>141.7777777777784</v>
      </c>
      <c r="V293" s="872">
        <f t="shared" si="54"/>
        <v>149.8333333333324</v>
      </c>
      <c r="W293" s="872">
        <f t="shared" si="55"/>
        <v>120.83333333333374</v>
      </c>
      <c r="X293" s="872">
        <f t="shared" si="56"/>
        <v>133.7222222222224</v>
      </c>
      <c r="Y293" s="872">
        <f t="shared" si="57"/>
        <v>141.7777777777784</v>
      </c>
      <c r="Z293" s="872">
        <f t="shared" si="58"/>
        <v>112.777777777778</v>
      </c>
      <c r="AA293" s="872">
        <f t="shared" si="59"/>
        <v>125.6666666666664</v>
      </c>
      <c r="AB293" s="872">
        <f t="shared" si="60"/>
        <v>133.7222222222224</v>
      </c>
      <c r="AC293" s="872">
        <f t="shared" si="61"/>
        <v>104.722222222222</v>
      </c>
      <c r="AD293" s="872">
        <f t="shared" si="62"/>
        <v>117.61111111111077</v>
      </c>
      <c r="AE293" s="872">
        <f t="shared" si="63"/>
        <v>125.6666666666664</v>
      </c>
      <c r="AF293" s="872">
        <f t="shared" si="64"/>
        <v>96.666666666666998</v>
      </c>
      <c r="AG293" s="872">
        <f t="shared" si="65"/>
        <v>109.5555555555557</v>
      </c>
      <c r="AH293" s="872">
        <f t="shared" si="66"/>
        <v>117.61111111111077</v>
      </c>
      <c r="AI293" s="872">
        <f t="shared" si="67"/>
        <v>88.611111111111001</v>
      </c>
      <c r="AJ293" s="872">
        <f t="shared" si="68"/>
        <v>101.5000000000004</v>
      </c>
      <c r="AK293" s="872">
        <f t="shared" si="51"/>
        <v>109.5555555555557</v>
      </c>
    </row>
    <row r="294" spans="1:37" ht="13.5" thickBot="1">
      <c r="A294" s="868"/>
      <c r="B294" s="868"/>
      <c r="C294" s="868"/>
      <c r="D294" s="873">
        <f t="shared" si="47"/>
        <v>0.80833333333333102</v>
      </c>
      <c r="E294" s="872">
        <f t="shared" si="52"/>
        <v>226.33333333333377</v>
      </c>
      <c r="F294" s="872">
        <f t="shared" si="52"/>
        <v>239.26666666666799</v>
      </c>
      <c r="G294" s="872">
        <f t="shared" si="52"/>
        <v>247.34999999999874</v>
      </c>
      <c r="H294" s="872">
        <f t="shared" si="52"/>
        <v>210.16666666666623</v>
      </c>
      <c r="I294" s="872">
        <f t="shared" si="52"/>
        <v>223.09999999999982</v>
      </c>
      <c r="J294" s="872">
        <f t="shared" si="52"/>
        <v>231.18333333333391</v>
      </c>
      <c r="K294" s="872">
        <f t="shared" si="52"/>
        <v>194.00000000000065</v>
      </c>
      <c r="L294" s="872">
        <f t="shared" si="52"/>
        <v>206.93333333333351</v>
      </c>
      <c r="M294" s="872">
        <f t="shared" si="52"/>
        <v>215.01666666666728</v>
      </c>
      <c r="N294" s="872">
        <f t="shared" si="52"/>
        <v>145.5</v>
      </c>
      <c r="O294" s="872">
        <f t="shared" si="52"/>
        <v>158.43333333333285</v>
      </c>
      <c r="P294" s="872">
        <f t="shared" si="52"/>
        <v>166.51666666666662</v>
      </c>
      <c r="Q294" s="872">
        <f t="shared" si="52"/>
        <v>137.41666666666623</v>
      </c>
      <c r="R294" s="872">
        <f t="shared" si="52"/>
        <v>150.34999999999908</v>
      </c>
      <c r="S294" s="872">
        <f t="shared" si="52"/>
        <v>158.43333333333285</v>
      </c>
      <c r="T294" s="872">
        <f t="shared" si="52"/>
        <v>129.33333333333246</v>
      </c>
      <c r="U294" s="872">
        <f t="shared" si="53"/>
        <v>142.26666666666728</v>
      </c>
      <c r="V294" s="872">
        <f t="shared" si="54"/>
        <v>150.34999999999908</v>
      </c>
      <c r="W294" s="872">
        <f t="shared" si="55"/>
        <v>121.25000000000041</v>
      </c>
      <c r="X294" s="872">
        <f t="shared" si="56"/>
        <v>134.18333333333351</v>
      </c>
      <c r="Y294" s="872">
        <f t="shared" si="57"/>
        <v>142.26666666666728</v>
      </c>
      <c r="Z294" s="872">
        <f t="shared" si="58"/>
        <v>113.16666666666688</v>
      </c>
      <c r="AA294" s="872">
        <f t="shared" si="59"/>
        <v>126.09999999999974</v>
      </c>
      <c r="AB294" s="872">
        <f t="shared" si="60"/>
        <v>134.18333333333351</v>
      </c>
      <c r="AC294" s="872">
        <f t="shared" si="61"/>
        <v>105.08333333333312</v>
      </c>
      <c r="AD294" s="872">
        <f t="shared" si="62"/>
        <v>118.01666666666632</v>
      </c>
      <c r="AE294" s="872">
        <f t="shared" si="63"/>
        <v>126.09999999999974</v>
      </c>
      <c r="AF294" s="872">
        <f t="shared" si="64"/>
        <v>97.000000000000327</v>
      </c>
      <c r="AG294" s="872">
        <f t="shared" si="65"/>
        <v>109.93333333333348</v>
      </c>
      <c r="AH294" s="872">
        <f t="shared" si="66"/>
        <v>118.01666666666632</v>
      </c>
      <c r="AI294" s="872">
        <f t="shared" si="67"/>
        <v>88.916666666666558</v>
      </c>
      <c r="AJ294" s="872">
        <f t="shared" si="68"/>
        <v>101.85000000000039</v>
      </c>
      <c r="AK294" s="872">
        <f t="shared" si="51"/>
        <v>109.93333333333348</v>
      </c>
    </row>
    <row r="295" spans="1:37" ht="13.5" thickBot="1">
      <c r="A295" s="868"/>
      <c r="B295" s="868"/>
      <c r="C295" s="868"/>
      <c r="D295" s="873">
        <f t="shared" si="47"/>
        <v>0.81111111111110878</v>
      </c>
      <c r="E295" s="872">
        <f t="shared" si="52"/>
        <v>227.11111111111154</v>
      </c>
      <c r="F295" s="872">
        <f t="shared" si="52"/>
        <v>240.08888888889021</v>
      </c>
      <c r="G295" s="872">
        <f t="shared" si="52"/>
        <v>248.19999999999874</v>
      </c>
      <c r="H295" s="872">
        <f t="shared" si="52"/>
        <v>210.88888888888846</v>
      </c>
      <c r="I295" s="872">
        <f t="shared" si="52"/>
        <v>223.8666666666665</v>
      </c>
      <c r="J295" s="872">
        <f t="shared" si="52"/>
        <v>231.97777777777836</v>
      </c>
      <c r="K295" s="872">
        <f t="shared" si="52"/>
        <v>194.66666666666731</v>
      </c>
      <c r="L295" s="872">
        <f t="shared" si="52"/>
        <v>207.64444444444462</v>
      </c>
      <c r="M295" s="872">
        <f t="shared" si="52"/>
        <v>215.75555555555616</v>
      </c>
      <c r="N295" s="872">
        <f t="shared" si="52"/>
        <v>146</v>
      </c>
      <c r="O295" s="872">
        <f t="shared" si="52"/>
        <v>158.97777777777731</v>
      </c>
      <c r="P295" s="872">
        <f t="shared" si="52"/>
        <v>167.08888888888885</v>
      </c>
      <c r="Q295" s="872">
        <f t="shared" si="52"/>
        <v>137.88888888888846</v>
      </c>
      <c r="R295" s="872">
        <f t="shared" si="52"/>
        <v>150.86666666666576</v>
      </c>
      <c r="S295" s="872">
        <f t="shared" si="52"/>
        <v>158.97777777777731</v>
      </c>
      <c r="T295" s="872">
        <f t="shared" si="52"/>
        <v>129.77777777777692</v>
      </c>
      <c r="U295" s="872">
        <f t="shared" si="53"/>
        <v>142.75555555555616</v>
      </c>
      <c r="V295" s="872">
        <f t="shared" si="54"/>
        <v>150.86666666666576</v>
      </c>
      <c r="W295" s="872">
        <f t="shared" si="55"/>
        <v>121.66666666666708</v>
      </c>
      <c r="X295" s="872">
        <f t="shared" si="56"/>
        <v>134.64444444444462</v>
      </c>
      <c r="Y295" s="872">
        <f t="shared" si="57"/>
        <v>142.75555555555616</v>
      </c>
      <c r="Z295" s="872">
        <f t="shared" si="58"/>
        <v>113.55555555555577</v>
      </c>
      <c r="AA295" s="872">
        <f t="shared" si="59"/>
        <v>126.53333333333308</v>
      </c>
      <c r="AB295" s="872">
        <f t="shared" si="60"/>
        <v>134.64444444444462</v>
      </c>
      <c r="AC295" s="872">
        <f t="shared" si="61"/>
        <v>105.44444444444423</v>
      </c>
      <c r="AD295" s="872">
        <f t="shared" si="62"/>
        <v>118.42222222222188</v>
      </c>
      <c r="AE295" s="872">
        <f t="shared" si="63"/>
        <v>126.53333333333308</v>
      </c>
      <c r="AF295" s="872">
        <f t="shared" si="64"/>
        <v>97.333333333333655</v>
      </c>
      <c r="AG295" s="872">
        <f t="shared" si="65"/>
        <v>110.31111111111126</v>
      </c>
      <c r="AH295" s="872">
        <f t="shared" si="66"/>
        <v>118.42222222222188</v>
      </c>
      <c r="AI295" s="872">
        <f t="shared" si="67"/>
        <v>89.222222222222115</v>
      </c>
      <c r="AJ295" s="872">
        <f t="shared" si="68"/>
        <v>102.20000000000039</v>
      </c>
      <c r="AK295" s="872">
        <f t="shared" si="51"/>
        <v>110.31111111111126</v>
      </c>
    </row>
    <row r="296" spans="1:37" ht="13.5" thickBot="1">
      <c r="A296" s="868"/>
      <c r="B296" s="868"/>
      <c r="C296" s="868"/>
      <c r="D296" s="873">
        <f t="shared" si="47"/>
        <v>0.81388888888888655</v>
      </c>
      <c r="E296" s="872">
        <f t="shared" si="52"/>
        <v>227.88888888888931</v>
      </c>
      <c r="F296" s="872">
        <f t="shared" si="52"/>
        <v>240.91111111111243</v>
      </c>
      <c r="G296" s="872">
        <f t="shared" si="52"/>
        <v>249.04999999999873</v>
      </c>
      <c r="H296" s="872">
        <f t="shared" si="52"/>
        <v>211.61111111111069</v>
      </c>
      <c r="I296" s="872">
        <f t="shared" si="52"/>
        <v>224.63333333333318</v>
      </c>
      <c r="J296" s="872">
        <f t="shared" si="52"/>
        <v>232.77222222222281</v>
      </c>
      <c r="K296" s="872">
        <f t="shared" si="52"/>
        <v>195.33333333333397</v>
      </c>
      <c r="L296" s="872">
        <f t="shared" si="52"/>
        <v>208.35555555555572</v>
      </c>
      <c r="M296" s="872">
        <f t="shared" si="52"/>
        <v>216.49444444444504</v>
      </c>
      <c r="N296" s="872">
        <f t="shared" si="52"/>
        <v>146.5</v>
      </c>
      <c r="O296" s="872">
        <f t="shared" si="52"/>
        <v>159.52222222222176</v>
      </c>
      <c r="P296" s="872">
        <f t="shared" si="52"/>
        <v>167.66111111111107</v>
      </c>
      <c r="Q296" s="872">
        <f t="shared" si="52"/>
        <v>138.36111111111069</v>
      </c>
      <c r="R296" s="872">
        <f t="shared" si="52"/>
        <v>151.38333333333244</v>
      </c>
      <c r="S296" s="872">
        <f t="shared" si="52"/>
        <v>159.52222222222176</v>
      </c>
      <c r="T296" s="872">
        <f t="shared" si="52"/>
        <v>130.22222222222138</v>
      </c>
      <c r="U296" s="872">
        <f t="shared" si="53"/>
        <v>143.24444444444504</v>
      </c>
      <c r="V296" s="872">
        <f t="shared" si="54"/>
        <v>151.38333333333244</v>
      </c>
      <c r="W296" s="872">
        <f t="shared" si="55"/>
        <v>122.08333333333375</v>
      </c>
      <c r="X296" s="872">
        <f t="shared" si="56"/>
        <v>135.10555555555572</v>
      </c>
      <c r="Y296" s="872">
        <f t="shared" si="57"/>
        <v>143.24444444444504</v>
      </c>
      <c r="Z296" s="872">
        <f t="shared" si="58"/>
        <v>113.94444444444466</v>
      </c>
      <c r="AA296" s="872">
        <f t="shared" si="59"/>
        <v>126.96666666666641</v>
      </c>
      <c r="AB296" s="872">
        <f t="shared" si="60"/>
        <v>135.10555555555572</v>
      </c>
      <c r="AC296" s="872">
        <f t="shared" si="61"/>
        <v>105.80555555555534</v>
      </c>
      <c r="AD296" s="872">
        <f t="shared" si="62"/>
        <v>118.82777777777743</v>
      </c>
      <c r="AE296" s="872">
        <f t="shared" si="63"/>
        <v>126.96666666666641</v>
      </c>
      <c r="AF296" s="872">
        <f t="shared" si="64"/>
        <v>97.666666666666984</v>
      </c>
      <c r="AG296" s="872">
        <f t="shared" si="65"/>
        <v>110.68888888888904</v>
      </c>
      <c r="AH296" s="872">
        <f t="shared" si="66"/>
        <v>118.82777777777743</v>
      </c>
      <c r="AI296" s="872">
        <f t="shared" si="67"/>
        <v>89.527777777777672</v>
      </c>
      <c r="AJ296" s="872">
        <f t="shared" si="68"/>
        <v>102.55000000000038</v>
      </c>
      <c r="AK296" s="872">
        <f t="shared" si="51"/>
        <v>110.68888888888904</v>
      </c>
    </row>
    <row r="297" spans="1:37" ht="13.5" thickBot="1">
      <c r="A297" s="868"/>
      <c r="B297" s="868"/>
      <c r="C297" s="868"/>
      <c r="D297" s="873">
        <f t="shared" si="47"/>
        <v>0.81666666666666432</v>
      </c>
      <c r="E297" s="872">
        <f t="shared" si="52"/>
        <v>228.66666666666708</v>
      </c>
      <c r="F297" s="872">
        <f t="shared" si="52"/>
        <v>241.73333333333466</v>
      </c>
      <c r="G297" s="872">
        <f t="shared" si="52"/>
        <v>249.89999999999873</v>
      </c>
      <c r="H297" s="872">
        <f t="shared" si="52"/>
        <v>212.33333333333292</v>
      </c>
      <c r="I297" s="872">
        <f t="shared" si="52"/>
        <v>225.39999999999986</v>
      </c>
      <c r="J297" s="872">
        <f t="shared" si="52"/>
        <v>233.56666666666726</v>
      </c>
      <c r="K297" s="872">
        <f t="shared" si="52"/>
        <v>196.00000000000063</v>
      </c>
      <c r="L297" s="872">
        <f t="shared" si="52"/>
        <v>209.06666666666683</v>
      </c>
      <c r="M297" s="872">
        <f t="shared" si="52"/>
        <v>217.23333333333392</v>
      </c>
      <c r="N297" s="872">
        <f t="shared" si="52"/>
        <v>147</v>
      </c>
      <c r="O297" s="872">
        <f t="shared" si="52"/>
        <v>160.06666666666621</v>
      </c>
      <c r="P297" s="872">
        <f t="shared" si="52"/>
        <v>168.23333333333329</v>
      </c>
      <c r="Q297" s="872">
        <f t="shared" si="52"/>
        <v>138.83333333333292</v>
      </c>
      <c r="R297" s="872">
        <f t="shared" si="52"/>
        <v>151.89999999999912</v>
      </c>
      <c r="S297" s="872">
        <f t="shared" si="52"/>
        <v>160.06666666666621</v>
      </c>
      <c r="T297" s="872">
        <f t="shared" ref="T297:AI313" si="69">T298-(T$363/360)</f>
        <v>130.66666666666583</v>
      </c>
      <c r="U297" s="872">
        <f t="shared" si="69"/>
        <v>143.73333333333392</v>
      </c>
      <c r="V297" s="872">
        <f t="shared" si="69"/>
        <v>151.89999999999912</v>
      </c>
      <c r="W297" s="872">
        <f t="shared" si="69"/>
        <v>122.50000000000043</v>
      </c>
      <c r="X297" s="872">
        <f t="shared" si="69"/>
        <v>135.56666666666683</v>
      </c>
      <c r="Y297" s="872">
        <f t="shared" si="69"/>
        <v>143.73333333333392</v>
      </c>
      <c r="Z297" s="872">
        <f t="shared" si="69"/>
        <v>114.33333333333354</v>
      </c>
      <c r="AA297" s="872">
        <f t="shared" si="69"/>
        <v>127.39999999999975</v>
      </c>
      <c r="AB297" s="872">
        <f t="shared" si="69"/>
        <v>135.56666666666683</v>
      </c>
      <c r="AC297" s="872">
        <f t="shared" si="69"/>
        <v>106.16666666666646</v>
      </c>
      <c r="AD297" s="872">
        <f t="shared" si="69"/>
        <v>119.23333333333298</v>
      </c>
      <c r="AE297" s="872">
        <f t="shared" si="69"/>
        <v>127.39999999999975</v>
      </c>
      <c r="AF297" s="872">
        <f t="shared" si="69"/>
        <v>98.000000000000313</v>
      </c>
      <c r="AG297" s="872">
        <f t="shared" si="69"/>
        <v>111.06666666666682</v>
      </c>
      <c r="AH297" s="872">
        <f t="shared" si="69"/>
        <v>119.23333333333298</v>
      </c>
      <c r="AI297" s="872">
        <f t="shared" si="69"/>
        <v>89.833333333333229</v>
      </c>
      <c r="AJ297" s="872">
        <f t="shared" ref="AJ297:AJ336" si="70">AJ298-(AJ$363/360)</f>
        <v>102.90000000000038</v>
      </c>
      <c r="AK297" s="872">
        <f t="shared" si="51"/>
        <v>111.06666666666682</v>
      </c>
    </row>
    <row r="298" spans="1:37" ht="13.5" thickBot="1">
      <c r="A298" s="868"/>
      <c r="B298" s="868"/>
      <c r="C298" s="868"/>
      <c r="D298" s="873">
        <f t="shared" si="47"/>
        <v>0.81944444444444209</v>
      </c>
      <c r="E298" s="872">
        <f t="shared" ref="E298:T314" si="71">E299-(E$363/360)</f>
        <v>229.44444444444485</v>
      </c>
      <c r="F298" s="872">
        <f t="shared" si="71"/>
        <v>242.55555555555688</v>
      </c>
      <c r="G298" s="872">
        <f t="shared" si="71"/>
        <v>250.74999999999872</v>
      </c>
      <c r="H298" s="872">
        <f t="shared" si="71"/>
        <v>213.05555555555515</v>
      </c>
      <c r="I298" s="872">
        <f t="shared" si="71"/>
        <v>226.16666666666654</v>
      </c>
      <c r="J298" s="872">
        <f t="shared" si="71"/>
        <v>234.36111111111171</v>
      </c>
      <c r="K298" s="872">
        <f t="shared" si="71"/>
        <v>196.66666666666728</v>
      </c>
      <c r="L298" s="872">
        <f t="shared" si="71"/>
        <v>209.77777777777794</v>
      </c>
      <c r="M298" s="872">
        <f t="shared" si="71"/>
        <v>217.9722222222228</v>
      </c>
      <c r="N298" s="872">
        <f t="shared" si="71"/>
        <v>147.5</v>
      </c>
      <c r="O298" s="872">
        <f t="shared" si="71"/>
        <v>160.61111111111066</v>
      </c>
      <c r="P298" s="872">
        <f t="shared" si="71"/>
        <v>168.80555555555551</v>
      </c>
      <c r="Q298" s="872">
        <f t="shared" si="71"/>
        <v>139.30555555555515</v>
      </c>
      <c r="R298" s="872">
        <f t="shared" si="71"/>
        <v>152.4166666666658</v>
      </c>
      <c r="S298" s="872">
        <f t="shared" si="71"/>
        <v>160.61111111111066</v>
      </c>
      <c r="T298" s="872">
        <f t="shared" si="69"/>
        <v>131.11111111111029</v>
      </c>
      <c r="U298" s="872">
        <f t="shared" si="69"/>
        <v>144.2222222222228</v>
      </c>
      <c r="V298" s="872">
        <f t="shared" si="69"/>
        <v>152.4166666666658</v>
      </c>
      <c r="W298" s="872">
        <f t="shared" si="69"/>
        <v>122.9166666666671</v>
      </c>
      <c r="X298" s="872">
        <f t="shared" si="69"/>
        <v>136.02777777777794</v>
      </c>
      <c r="Y298" s="872">
        <f t="shared" si="69"/>
        <v>144.2222222222228</v>
      </c>
      <c r="Z298" s="872">
        <f t="shared" si="69"/>
        <v>114.72222222222243</v>
      </c>
      <c r="AA298" s="872">
        <f t="shared" si="69"/>
        <v>127.83333333333309</v>
      </c>
      <c r="AB298" s="872">
        <f t="shared" si="69"/>
        <v>136.02777777777794</v>
      </c>
      <c r="AC298" s="872">
        <f t="shared" si="69"/>
        <v>106.52777777777757</v>
      </c>
      <c r="AD298" s="872">
        <f t="shared" si="69"/>
        <v>119.63888888888853</v>
      </c>
      <c r="AE298" s="872">
        <f t="shared" si="69"/>
        <v>127.83333333333309</v>
      </c>
      <c r="AF298" s="872">
        <f t="shared" si="69"/>
        <v>98.333333333333641</v>
      </c>
      <c r="AG298" s="872">
        <f t="shared" si="69"/>
        <v>111.4444444444446</v>
      </c>
      <c r="AH298" s="872">
        <f t="shared" si="69"/>
        <v>119.63888888888853</v>
      </c>
      <c r="AI298" s="872">
        <f t="shared" si="69"/>
        <v>90.138888888888786</v>
      </c>
      <c r="AJ298" s="872">
        <f t="shared" si="70"/>
        <v>103.25000000000037</v>
      </c>
      <c r="AK298" s="872">
        <f t="shared" si="51"/>
        <v>111.4444444444446</v>
      </c>
    </row>
    <row r="299" spans="1:37" ht="13.5" thickBot="1">
      <c r="A299" s="868"/>
      <c r="B299" s="868"/>
      <c r="C299" s="868"/>
      <c r="D299" s="873">
        <f t="shared" si="47"/>
        <v>0.82222222222221986</v>
      </c>
      <c r="E299" s="872">
        <f t="shared" si="71"/>
        <v>230.22222222222263</v>
      </c>
      <c r="F299" s="872">
        <f t="shared" si="71"/>
        <v>243.3777777777791</v>
      </c>
      <c r="G299" s="872">
        <f t="shared" si="71"/>
        <v>251.59999999999872</v>
      </c>
      <c r="H299" s="872">
        <f t="shared" si="71"/>
        <v>213.77777777777737</v>
      </c>
      <c r="I299" s="872">
        <f t="shared" si="71"/>
        <v>226.93333333333322</v>
      </c>
      <c r="J299" s="872">
        <f t="shared" si="71"/>
        <v>235.15555555555616</v>
      </c>
      <c r="K299" s="872">
        <f t="shared" si="71"/>
        <v>197.33333333333394</v>
      </c>
      <c r="L299" s="872">
        <f t="shared" si="71"/>
        <v>210.48888888888905</v>
      </c>
      <c r="M299" s="872">
        <f t="shared" si="71"/>
        <v>218.71111111111168</v>
      </c>
      <c r="N299" s="872">
        <f t="shared" si="71"/>
        <v>148</v>
      </c>
      <c r="O299" s="872">
        <f t="shared" si="71"/>
        <v>161.15555555555511</v>
      </c>
      <c r="P299" s="872">
        <f t="shared" si="71"/>
        <v>169.37777777777774</v>
      </c>
      <c r="Q299" s="872">
        <f t="shared" si="71"/>
        <v>139.77777777777737</v>
      </c>
      <c r="R299" s="872">
        <f t="shared" si="71"/>
        <v>152.93333333333248</v>
      </c>
      <c r="S299" s="872">
        <f t="shared" si="71"/>
        <v>161.15555555555511</v>
      </c>
      <c r="T299" s="872">
        <f t="shared" si="69"/>
        <v>131.55555555555475</v>
      </c>
      <c r="U299" s="872">
        <f t="shared" si="69"/>
        <v>144.71111111111168</v>
      </c>
      <c r="V299" s="872">
        <f t="shared" si="69"/>
        <v>152.93333333333248</v>
      </c>
      <c r="W299" s="872">
        <f t="shared" si="69"/>
        <v>123.33333333333377</v>
      </c>
      <c r="X299" s="872">
        <f t="shared" si="69"/>
        <v>136.48888888888905</v>
      </c>
      <c r="Y299" s="872">
        <f t="shared" si="69"/>
        <v>144.71111111111168</v>
      </c>
      <c r="Z299" s="872">
        <f t="shared" si="69"/>
        <v>115.11111111111131</v>
      </c>
      <c r="AA299" s="872">
        <f t="shared" si="69"/>
        <v>128.26666666666642</v>
      </c>
      <c r="AB299" s="872">
        <f t="shared" si="69"/>
        <v>136.48888888888905</v>
      </c>
      <c r="AC299" s="872">
        <f t="shared" si="69"/>
        <v>106.88888888888869</v>
      </c>
      <c r="AD299" s="872">
        <f t="shared" si="69"/>
        <v>120.04444444444408</v>
      </c>
      <c r="AE299" s="872">
        <f t="shared" si="69"/>
        <v>128.26666666666642</v>
      </c>
      <c r="AF299" s="872">
        <f t="shared" si="69"/>
        <v>98.66666666666697</v>
      </c>
      <c r="AG299" s="872">
        <f t="shared" si="69"/>
        <v>111.82222222222238</v>
      </c>
      <c r="AH299" s="872">
        <f t="shared" si="69"/>
        <v>120.04444444444408</v>
      </c>
      <c r="AI299" s="872">
        <f t="shared" si="69"/>
        <v>90.444444444444343</v>
      </c>
      <c r="AJ299" s="872">
        <f t="shared" si="70"/>
        <v>103.60000000000036</v>
      </c>
      <c r="AK299" s="872">
        <f t="shared" si="51"/>
        <v>111.82222222222238</v>
      </c>
    </row>
    <row r="300" spans="1:37" ht="13.5" thickBot="1">
      <c r="A300" s="868"/>
      <c r="B300" s="868"/>
      <c r="C300" s="868"/>
      <c r="D300" s="873">
        <f t="shared" si="47"/>
        <v>0.82499999999999762</v>
      </c>
      <c r="E300" s="872">
        <f t="shared" si="71"/>
        <v>231.0000000000004</v>
      </c>
      <c r="F300" s="872">
        <f t="shared" si="71"/>
        <v>244.20000000000132</v>
      </c>
      <c r="G300" s="872">
        <f t="shared" si="71"/>
        <v>252.44999999999871</v>
      </c>
      <c r="H300" s="872">
        <f t="shared" si="71"/>
        <v>214.4999999999996</v>
      </c>
      <c r="I300" s="872">
        <f t="shared" si="71"/>
        <v>227.6999999999999</v>
      </c>
      <c r="J300" s="872">
        <f t="shared" si="71"/>
        <v>235.95000000000061</v>
      </c>
      <c r="K300" s="872">
        <f t="shared" si="71"/>
        <v>198.0000000000006</v>
      </c>
      <c r="L300" s="872">
        <f t="shared" si="71"/>
        <v>211.20000000000016</v>
      </c>
      <c r="M300" s="872">
        <f t="shared" si="71"/>
        <v>219.45000000000056</v>
      </c>
      <c r="N300" s="872">
        <f t="shared" si="71"/>
        <v>148.5</v>
      </c>
      <c r="O300" s="872">
        <f t="shared" si="71"/>
        <v>161.69999999999956</v>
      </c>
      <c r="P300" s="872">
        <f t="shared" si="71"/>
        <v>169.94999999999996</v>
      </c>
      <c r="Q300" s="872">
        <f t="shared" si="71"/>
        <v>140.2499999999996</v>
      </c>
      <c r="R300" s="872">
        <f t="shared" si="71"/>
        <v>153.44999999999916</v>
      </c>
      <c r="S300" s="872">
        <f t="shared" si="71"/>
        <v>161.69999999999956</v>
      </c>
      <c r="T300" s="872">
        <f t="shared" si="69"/>
        <v>131.9999999999992</v>
      </c>
      <c r="U300" s="872">
        <f t="shared" si="69"/>
        <v>145.20000000000056</v>
      </c>
      <c r="V300" s="872">
        <f t="shared" si="69"/>
        <v>153.44999999999916</v>
      </c>
      <c r="W300" s="872">
        <f t="shared" si="69"/>
        <v>123.75000000000044</v>
      </c>
      <c r="X300" s="872">
        <f t="shared" si="69"/>
        <v>136.95000000000016</v>
      </c>
      <c r="Y300" s="872">
        <f t="shared" si="69"/>
        <v>145.20000000000056</v>
      </c>
      <c r="Z300" s="872">
        <f t="shared" si="69"/>
        <v>115.5000000000002</v>
      </c>
      <c r="AA300" s="872">
        <f t="shared" si="69"/>
        <v>128.69999999999976</v>
      </c>
      <c r="AB300" s="872">
        <f t="shared" si="69"/>
        <v>136.95000000000016</v>
      </c>
      <c r="AC300" s="872">
        <f t="shared" si="69"/>
        <v>107.2499999999998</v>
      </c>
      <c r="AD300" s="872">
        <f t="shared" si="69"/>
        <v>120.44999999999963</v>
      </c>
      <c r="AE300" s="872">
        <f t="shared" si="69"/>
        <v>128.69999999999976</v>
      </c>
      <c r="AF300" s="872">
        <f t="shared" si="69"/>
        <v>99.000000000000298</v>
      </c>
      <c r="AG300" s="872">
        <f t="shared" si="69"/>
        <v>112.20000000000016</v>
      </c>
      <c r="AH300" s="872">
        <f t="shared" si="69"/>
        <v>120.44999999999963</v>
      </c>
      <c r="AI300" s="872">
        <f t="shared" si="69"/>
        <v>90.749999999999901</v>
      </c>
      <c r="AJ300" s="872">
        <f t="shared" si="70"/>
        <v>103.95000000000036</v>
      </c>
      <c r="AK300" s="872">
        <f t="shared" si="51"/>
        <v>112.20000000000016</v>
      </c>
    </row>
    <row r="301" spans="1:37" ht="13.5" thickBot="1">
      <c r="A301" s="868"/>
      <c r="B301" s="868"/>
      <c r="C301" s="868"/>
      <c r="D301" s="873">
        <f t="shared" si="47"/>
        <v>0.82777777777777539</v>
      </c>
      <c r="E301" s="872">
        <f t="shared" si="71"/>
        <v>231.77777777777817</v>
      </c>
      <c r="F301" s="872">
        <f t="shared" si="71"/>
        <v>245.02222222222355</v>
      </c>
      <c r="G301" s="872">
        <f t="shared" si="71"/>
        <v>253.2999999999987</v>
      </c>
      <c r="H301" s="872">
        <f t="shared" si="71"/>
        <v>215.22222222222183</v>
      </c>
      <c r="I301" s="872">
        <f t="shared" si="71"/>
        <v>228.46666666666658</v>
      </c>
      <c r="J301" s="872">
        <f t="shared" si="71"/>
        <v>236.74444444444507</v>
      </c>
      <c r="K301" s="872">
        <f t="shared" si="71"/>
        <v>198.66666666666725</v>
      </c>
      <c r="L301" s="872">
        <f t="shared" si="71"/>
        <v>211.91111111111127</v>
      </c>
      <c r="M301" s="872">
        <f t="shared" si="71"/>
        <v>220.18888888888944</v>
      </c>
      <c r="N301" s="872">
        <f t="shared" si="71"/>
        <v>149</v>
      </c>
      <c r="O301" s="872">
        <f t="shared" si="71"/>
        <v>162.24444444444401</v>
      </c>
      <c r="P301" s="872">
        <f t="shared" si="71"/>
        <v>170.52222222222218</v>
      </c>
      <c r="Q301" s="872">
        <f t="shared" si="71"/>
        <v>140.72222222222183</v>
      </c>
      <c r="R301" s="872">
        <f t="shared" si="71"/>
        <v>153.96666666666584</v>
      </c>
      <c r="S301" s="872">
        <f t="shared" si="71"/>
        <v>162.24444444444401</v>
      </c>
      <c r="T301" s="872">
        <f t="shared" si="69"/>
        <v>132.44444444444366</v>
      </c>
      <c r="U301" s="872">
        <f t="shared" si="69"/>
        <v>145.68888888888944</v>
      </c>
      <c r="V301" s="872">
        <f t="shared" si="69"/>
        <v>153.96666666666584</v>
      </c>
      <c r="W301" s="872">
        <f t="shared" si="69"/>
        <v>124.16666666666711</v>
      </c>
      <c r="X301" s="872">
        <f t="shared" si="69"/>
        <v>137.41111111111127</v>
      </c>
      <c r="Y301" s="872">
        <f t="shared" si="69"/>
        <v>145.68888888888944</v>
      </c>
      <c r="Z301" s="872">
        <f t="shared" si="69"/>
        <v>115.88888888888908</v>
      </c>
      <c r="AA301" s="872">
        <f t="shared" si="69"/>
        <v>129.1333333333331</v>
      </c>
      <c r="AB301" s="872">
        <f t="shared" si="69"/>
        <v>137.41111111111127</v>
      </c>
      <c r="AC301" s="872">
        <f t="shared" si="69"/>
        <v>107.61111111111092</v>
      </c>
      <c r="AD301" s="872">
        <f t="shared" si="69"/>
        <v>120.85555555555518</v>
      </c>
      <c r="AE301" s="872">
        <f t="shared" si="69"/>
        <v>129.1333333333331</v>
      </c>
      <c r="AF301" s="872">
        <f t="shared" si="69"/>
        <v>99.333333333333627</v>
      </c>
      <c r="AG301" s="872">
        <f t="shared" si="69"/>
        <v>112.57777777777794</v>
      </c>
      <c r="AH301" s="872">
        <f t="shared" si="69"/>
        <v>120.85555555555518</v>
      </c>
      <c r="AI301" s="872">
        <f t="shared" si="69"/>
        <v>91.055555555555458</v>
      </c>
      <c r="AJ301" s="872">
        <f t="shared" si="70"/>
        <v>104.30000000000035</v>
      </c>
      <c r="AK301" s="872">
        <f t="shared" si="51"/>
        <v>112.57777777777794</v>
      </c>
    </row>
    <row r="302" spans="1:37" ht="13.5" thickBot="1">
      <c r="A302" s="868"/>
      <c r="B302" s="868"/>
      <c r="C302" s="868"/>
      <c r="D302" s="873">
        <f t="shared" si="47"/>
        <v>0.83055555555555316</v>
      </c>
      <c r="E302" s="872">
        <f t="shared" si="71"/>
        <v>232.55555555555594</v>
      </c>
      <c r="F302" s="872">
        <f t="shared" si="71"/>
        <v>245.84444444444577</v>
      </c>
      <c r="G302" s="872">
        <f t="shared" si="71"/>
        <v>254.1499999999987</v>
      </c>
      <c r="H302" s="872">
        <f t="shared" si="71"/>
        <v>215.94444444444406</v>
      </c>
      <c r="I302" s="872">
        <f t="shared" si="71"/>
        <v>229.23333333333326</v>
      </c>
      <c r="J302" s="872">
        <f t="shared" si="71"/>
        <v>237.53888888888952</v>
      </c>
      <c r="K302" s="872">
        <f t="shared" si="71"/>
        <v>199.33333333333391</v>
      </c>
      <c r="L302" s="872">
        <f t="shared" si="71"/>
        <v>212.62222222222238</v>
      </c>
      <c r="M302" s="872">
        <f t="shared" si="71"/>
        <v>220.92777777777832</v>
      </c>
      <c r="N302" s="872">
        <f t="shared" si="71"/>
        <v>149.5</v>
      </c>
      <c r="O302" s="872">
        <f t="shared" si="71"/>
        <v>162.78888888888847</v>
      </c>
      <c r="P302" s="872">
        <f t="shared" si="71"/>
        <v>171.09444444444441</v>
      </c>
      <c r="Q302" s="872">
        <f t="shared" si="71"/>
        <v>141.19444444444406</v>
      </c>
      <c r="R302" s="872">
        <f t="shared" si="71"/>
        <v>154.48333333333252</v>
      </c>
      <c r="S302" s="872">
        <f t="shared" si="71"/>
        <v>162.78888888888847</v>
      </c>
      <c r="T302" s="872">
        <f t="shared" si="69"/>
        <v>132.88888888888812</v>
      </c>
      <c r="U302" s="872">
        <f t="shared" si="69"/>
        <v>146.17777777777832</v>
      </c>
      <c r="V302" s="872">
        <f t="shared" si="69"/>
        <v>154.48333333333252</v>
      </c>
      <c r="W302" s="872">
        <f t="shared" si="69"/>
        <v>124.58333333333378</v>
      </c>
      <c r="X302" s="872">
        <f t="shared" si="69"/>
        <v>137.87222222222238</v>
      </c>
      <c r="Y302" s="872">
        <f t="shared" si="69"/>
        <v>146.17777777777832</v>
      </c>
      <c r="Z302" s="872">
        <f t="shared" si="69"/>
        <v>116.27777777777797</v>
      </c>
      <c r="AA302" s="872">
        <f t="shared" si="69"/>
        <v>129.56666666666644</v>
      </c>
      <c r="AB302" s="872">
        <f t="shared" si="69"/>
        <v>137.87222222222238</v>
      </c>
      <c r="AC302" s="872">
        <f t="shared" si="69"/>
        <v>107.97222222222203</v>
      </c>
      <c r="AD302" s="872">
        <f t="shared" si="69"/>
        <v>121.26111111111074</v>
      </c>
      <c r="AE302" s="872">
        <f t="shared" si="69"/>
        <v>129.56666666666644</v>
      </c>
      <c r="AF302" s="872">
        <f t="shared" si="69"/>
        <v>99.666666666666956</v>
      </c>
      <c r="AG302" s="872">
        <f t="shared" si="69"/>
        <v>112.95555555555572</v>
      </c>
      <c r="AH302" s="872">
        <f t="shared" si="69"/>
        <v>121.26111111111074</v>
      </c>
      <c r="AI302" s="872">
        <f t="shared" si="69"/>
        <v>91.361111111111015</v>
      </c>
      <c r="AJ302" s="872">
        <f t="shared" si="70"/>
        <v>104.65000000000035</v>
      </c>
      <c r="AK302" s="872">
        <f t="shared" si="51"/>
        <v>112.95555555555572</v>
      </c>
    </row>
    <row r="303" spans="1:37" ht="13.5" thickBot="1">
      <c r="A303" s="868"/>
      <c r="B303" s="868"/>
      <c r="C303" s="868"/>
      <c r="D303" s="873">
        <f t="shared" si="47"/>
        <v>0.83333333333333093</v>
      </c>
      <c r="E303" s="872">
        <f t="shared" si="71"/>
        <v>233.33333333333371</v>
      </c>
      <c r="F303" s="872">
        <f t="shared" si="71"/>
        <v>246.66666666666799</v>
      </c>
      <c r="G303" s="872">
        <f t="shared" si="71"/>
        <v>254.99999999999869</v>
      </c>
      <c r="H303" s="872">
        <f t="shared" si="71"/>
        <v>216.66666666666629</v>
      </c>
      <c r="I303" s="872">
        <f t="shared" si="71"/>
        <v>229.99999999999994</v>
      </c>
      <c r="J303" s="872">
        <f t="shared" si="71"/>
        <v>238.33333333333397</v>
      </c>
      <c r="K303" s="872">
        <f t="shared" si="71"/>
        <v>200.00000000000057</v>
      </c>
      <c r="L303" s="872">
        <f t="shared" si="71"/>
        <v>213.33333333333348</v>
      </c>
      <c r="M303" s="872">
        <f t="shared" si="71"/>
        <v>221.6666666666672</v>
      </c>
      <c r="N303" s="872">
        <f t="shared" si="71"/>
        <v>150</v>
      </c>
      <c r="O303" s="872">
        <f t="shared" si="71"/>
        <v>163.33333333333292</v>
      </c>
      <c r="P303" s="872">
        <f t="shared" si="71"/>
        <v>171.66666666666663</v>
      </c>
      <c r="Q303" s="872">
        <f t="shared" si="71"/>
        <v>141.66666666666629</v>
      </c>
      <c r="R303" s="872">
        <f t="shared" si="71"/>
        <v>154.9999999999992</v>
      </c>
      <c r="S303" s="872">
        <f t="shared" si="71"/>
        <v>163.33333333333292</v>
      </c>
      <c r="T303" s="872">
        <f t="shared" si="69"/>
        <v>133.33333333333258</v>
      </c>
      <c r="U303" s="872">
        <f t="shared" si="69"/>
        <v>146.6666666666672</v>
      </c>
      <c r="V303" s="872">
        <f t="shared" si="69"/>
        <v>154.9999999999992</v>
      </c>
      <c r="W303" s="872">
        <f t="shared" si="69"/>
        <v>125.00000000000045</v>
      </c>
      <c r="X303" s="872">
        <f t="shared" si="69"/>
        <v>138.33333333333348</v>
      </c>
      <c r="Y303" s="872">
        <f t="shared" si="69"/>
        <v>146.6666666666672</v>
      </c>
      <c r="Z303" s="872">
        <f t="shared" si="69"/>
        <v>116.66666666666686</v>
      </c>
      <c r="AA303" s="872">
        <f t="shared" si="69"/>
        <v>129.99999999999977</v>
      </c>
      <c r="AB303" s="872">
        <f t="shared" si="69"/>
        <v>138.33333333333348</v>
      </c>
      <c r="AC303" s="872">
        <f t="shared" si="69"/>
        <v>108.33333333333314</v>
      </c>
      <c r="AD303" s="872">
        <f t="shared" si="69"/>
        <v>121.66666666666629</v>
      </c>
      <c r="AE303" s="872">
        <f t="shared" si="69"/>
        <v>129.99999999999977</v>
      </c>
      <c r="AF303" s="872">
        <f t="shared" si="69"/>
        <v>100.00000000000028</v>
      </c>
      <c r="AG303" s="872">
        <f t="shared" si="69"/>
        <v>113.3333333333335</v>
      </c>
      <c r="AH303" s="872">
        <f t="shared" si="69"/>
        <v>121.66666666666629</v>
      </c>
      <c r="AI303" s="872">
        <f t="shared" si="69"/>
        <v>91.666666666666572</v>
      </c>
      <c r="AJ303" s="872">
        <f t="shared" si="70"/>
        <v>105.00000000000034</v>
      </c>
      <c r="AK303" s="872">
        <f t="shared" si="51"/>
        <v>113.3333333333335</v>
      </c>
    </row>
    <row r="304" spans="1:37" ht="13.5" thickBot="1">
      <c r="A304" s="868"/>
      <c r="B304" s="868"/>
      <c r="C304" s="868"/>
      <c r="D304" s="873">
        <f t="shared" si="47"/>
        <v>0.8361111111111087</v>
      </c>
      <c r="E304" s="872">
        <f t="shared" si="71"/>
        <v>234.11111111111148</v>
      </c>
      <c r="F304" s="872">
        <f t="shared" si="71"/>
        <v>247.48888888889022</v>
      </c>
      <c r="G304" s="872">
        <f t="shared" si="71"/>
        <v>255.84999999999869</v>
      </c>
      <c r="H304" s="872">
        <f t="shared" si="71"/>
        <v>217.38888888888852</v>
      </c>
      <c r="I304" s="872">
        <f t="shared" si="71"/>
        <v>230.76666666666662</v>
      </c>
      <c r="J304" s="872">
        <f t="shared" si="71"/>
        <v>239.12777777777842</v>
      </c>
      <c r="K304" s="872">
        <f t="shared" si="71"/>
        <v>200.66666666666723</v>
      </c>
      <c r="L304" s="872">
        <f t="shared" si="71"/>
        <v>214.04444444444459</v>
      </c>
      <c r="M304" s="872">
        <f t="shared" si="71"/>
        <v>222.40555555555608</v>
      </c>
      <c r="N304" s="872">
        <f t="shared" si="71"/>
        <v>150.5</v>
      </c>
      <c r="O304" s="872">
        <f t="shared" si="71"/>
        <v>163.87777777777737</v>
      </c>
      <c r="P304" s="872">
        <f t="shared" si="71"/>
        <v>172.23888888888885</v>
      </c>
      <c r="Q304" s="872">
        <f t="shared" si="71"/>
        <v>142.13888888888852</v>
      </c>
      <c r="R304" s="872">
        <f t="shared" si="71"/>
        <v>155.51666666666588</v>
      </c>
      <c r="S304" s="872">
        <f t="shared" si="71"/>
        <v>163.87777777777737</v>
      </c>
      <c r="T304" s="872">
        <f t="shared" si="69"/>
        <v>133.77777777777703</v>
      </c>
      <c r="U304" s="872">
        <f t="shared" si="69"/>
        <v>147.15555555555608</v>
      </c>
      <c r="V304" s="872">
        <f t="shared" si="69"/>
        <v>155.51666666666588</v>
      </c>
      <c r="W304" s="872">
        <f t="shared" si="69"/>
        <v>125.41666666666713</v>
      </c>
      <c r="X304" s="872">
        <f t="shared" si="69"/>
        <v>138.79444444444459</v>
      </c>
      <c r="Y304" s="872">
        <f t="shared" si="69"/>
        <v>147.15555555555608</v>
      </c>
      <c r="Z304" s="872">
        <f t="shared" si="69"/>
        <v>117.05555555555574</v>
      </c>
      <c r="AA304" s="872">
        <f t="shared" si="69"/>
        <v>130.43333333333311</v>
      </c>
      <c r="AB304" s="872">
        <f t="shared" si="69"/>
        <v>138.79444444444459</v>
      </c>
      <c r="AC304" s="872">
        <f t="shared" si="69"/>
        <v>108.69444444444426</v>
      </c>
      <c r="AD304" s="872">
        <f t="shared" si="69"/>
        <v>122.07222222222184</v>
      </c>
      <c r="AE304" s="872">
        <f t="shared" si="69"/>
        <v>130.43333333333311</v>
      </c>
      <c r="AF304" s="872">
        <f t="shared" si="69"/>
        <v>100.33333333333361</v>
      </c>
      <c r="AG304" s="872">
        <f t="shared" si="69"/>
        <v>113.71111111111128</v>
      </c>
      <c r="AH304" s="872">
        <f t="shared" si="69"/>
        <v>122.07222222222184</v>
      </c>
      <c r="AI304" s="872">
        <f t="shared" si="69"/>
        <v>91.972222222222129</v>
      </c>
      <c r="AJ304" s="872">
        <f t="shared" si="70"/>
        <v>105.35000000000034</v>
      </c>
      <c r="AK304" s="872">
        <f t="shared" ref="AK304:AK335" si="72">AK305-(AK$363/360)</f>
        <v>113.71111111111128</v>
      </c>
    </row>
    <row r="305" spans="1:37" ht="13.5" thickBot="1">
      <c r="A305" s="868"/>
      <c r="B305" s="868"/>
      <c r="C305" s="868"/>
      <c r="D305" s="873">
        <f t="shared" si="47"/>
        <v>0.83888888888888646</v>
      </c>
      <c r="E305" s="872">
        <f t="shared" si="71"/>
        <v>234.88888888888926</v>
      </c>
      <c r="F305" s="872">
        <f t="shared" si="71"/>
        <v>248.31111111111244</v>
      </c>
      <c r="G305" s="872">
        <f t="shared" si="71"/>
        <v>256.69999999999868</v>
      </c>
      <c r="H305" s="872">
        <f t="shared" si="71"/>
        <v>218.11111111111074</v>
      </c>
      <c r="I305" s="872">
        <f t="shared" si="71"/>
        <v>231.5333333333333</v>
      </c>
      <c r="J305" s="872">
        <f t="shared" si="71"/>
        <v>239.92222222222287</v>
      </c>
      <c r="K305" s="872">
        <f t="shared" si="71"/>
        <v>201.33333333333388</v>
      </c>
      <c r="L305" s="872">
        <f t="shared" si="71"/>
        <v>214.7555555555557</v>
      </c>
      <c r="M305" s="872">
        <f t="shared" si="71"/>
        <v>223.14444444444496</v>
      </c>
      <c r="N305" s="872">
        <f t="shared" si="71"/>
        <v>151</v>
      </c>
      <c r="O305" s="872">
        <f t="shared" si="71"/>
        <v>164.42222222222182</v>
      </c>
      <c r="P305" s="872">
        <f t="shared" si="71"/>
        <v>172.81111111111107</v>
      </c>
      <c r="Q305" s="872">
        <f t="shared" si="71"/>
        <v>142.61111111111074</v>
      </c>
      <c r="R305" s="872">
        <f t="shared" si="71"/>
        <v>156.03333333333256</v>
      </c>
      <c r="S305" s="872">
        <f t="shared" si="71"/>
        <v>164.42222222222182</v>
      </c>
      <c r="T305" s="872">
        <f t="shared" si="71"/>
        <v>134.22222222222149</v>
      </c>
      <c r="U305" s="872">
        <f t="shared" si="69"/>
        <v>147.64444444444496</v>
      </c>
      <c r="V305" s="872">
        <f t="shared" si="69"/>
        <v>156.03333333333256</v>
      </c>
      <c r="W305" s="872">
        <f t="shared" si="69"/>
        <v>125.8333333333338</v>
      </c>
      <c r="X305" s="872">
        <f t="shared" si="69"/>
        <v>139.2555555555557</v>
      </c>
      <c r="Y305" s="872">
        <f t="shared" si="69"/>
        <v>147.64444444444496</v>
      </c>
      <c r="Z305" s="872">
        <f t="shared" si="69"/>
        <v>117.44444444444463</v>
      </c>
      <c r="AA305" s="872">
        <f t="shared" si="69"/>
        <v>130.86666666666645</v>
      </c>
      <c r="AB305" s="872">
        <f t="shared" si="69"/>
        <v>139.2555555555557</v>
      </c>
      <c r="AC305" s="872">
        <f t="shared" si="69"/>
        <v>109.05555555555537</v>
      </c>
      <c r="AD305" s="872">
        <f t="shared" si="69"/>
        <v>122.47777777777739</v>
      </c>
      <c r="AE305" s="872">
        <f t="shared" si="69"/>
        <v>130.86666666666645</v>
      </c>
      <c r="AF305" s="872">
        <f t="shared" si="69"/>
        <v>100.66666666666694</v>
      </c>
      <c r="AG305" s="872">
        <f t="shared" si="69"/>
        <v>114.08888888888906</v>
      </c>
      <c r="AH305" s="872">
        <f t="shared" si="69"/>
        <v>122.47777777777739</v>
      </c>
      <c r="AI305" s="872">
        <f t="shared" si="69"/>
        <v>92.277777777777686</v>
      </c>
      <c r="AJ305" s="872">
        <f t="shared" si="70"/>
        <v>105.70000000000033</v>
      </c>
      <c r="AK305" s="872">
        <f t="shared" si="72"/>
        <v>114.08888888888906</v>
      </c>
    </row>
    <row r="306" spans="1:37" ht="13.5" thickBot="1">
      <c r="A306" s="868"/>
      <c r="B306" s="868"/>
      <c r="C306" s="868"/>
      <c r="D306" s="873">
        <f t="shared" si="47"/>
        <v>0.84166666666666423</v>
      </c>
      <c r="E306" s="872">
        <f t="shared" si="71"/>
        <v>235.66666666666703</v>
      </c>
      <c r="F306" s="872">
        <f t="shared" si="71"/>
        <v>249.13333333333466</v>
      </c>
      <c r="G306" s="872">
        <f t="shared" si="71"/>
        <v>257.5499999999987</v>
      </c>
      <c r="H306" s="872">
        <f t="shared" si="71"/>
        <v>218.83333333333297</v>
      </c>
      <c r="I306" s="872">
        <f t="shared" si="71"/>
        <v>232.29999999999998</v>
      </c>
      <c r="J306" s="872">
        <f t="shared" si="71"/>
        <v>240.71666666666732</v>
      </c>
      <c r="K306" s="872">
        <f t="shared" si="71"/>
        <v>202.00000000000054</v>
      </c>
      <c r="L306" s="872">
        <f t="shared" si="71"/>
        <v>215.46666666666681</v>
      </c>
      <c r="M306" s="872">
        <f t="shared" si="71"/>
        <v>223.88333333333384</v>
      </c>
      <c r="N306" s="872">
        <f t="shared" si="71"/>
        <v>151.5</v>
      </c>
      <c r="O306" s="872">
        <f t="shared" si="71"/>
        <v>164.96666666666627</v>
      </c>
      <c r="P306" s="872">
        <f t="shared" si="71"/>
        <v>173.3833333333333</v>
      </c>
      <c r="Q306" s="872">
        <f t="shared" si="71"/>
        <v>143.08333333333297</v>
      </c>
      <c r="R306" s="872">
        <f t="shared" si="71"/>
        <v>156.54999999999924</v>
      </c>
      <c r="S306" s="872">
        <f t="shared" si="71"/>
        <v>164.96666666666627</v>
      </c>
      <c r="T306" s="872">
        <f t="shared" si="71"/>
        <v>134.66666666666595</v>
      </c>
      <c r="U306" s="872">
        <f t="shared" si="69"/>
        <v>148.13333333333384</v>
      </c>
      <c r="V306" s="872">
        <f t="shared" si="69"/>
        <v>156.54999999999924</v>
      </c>
      <c r="W306" s="872">
        <f t="shared" si="69"/>
        <v>126.25000000000047</v>
      </c>
      <c r="X306" s="872">
        <f t="shared" si="69"/>
        <v>139.71666666666681</v>
      </c>
      <c r="Y306" s="872">
        <f t="shared" si="69"/>
        <v>148.13333333333384</v>
      </c>
      <c r="Z306" s="872">
        <f t="shared" si="69"/>
        <v>117.83333333333351</v>
      </c>
      <c r="AA306" s="872">
        <f t="shared" si="69"/>
        <v>131.29999999999978</v>
      </c>
      <c r="AB306" s="872">
        <f>AB307-(AB$363/360)</f>
        <v>139.71666666666681</v>
      </c>
      <c r="AC306" s="872">
        <f t="shared" si="69"/>
        <v>109.41666666666649</v>
      </c>
      <c r="AD306" s="872">
        <f t="shared" si="69"/>
        <v>122.88333333333294</v>
      </c>
      <c r="AE306" s="872">
        <f t="shared" si="69"/>
        <v>131.29999999999978</v>
      </c>
      <c r="AF306" s="872">
        <f t="shared" si="69"/>
        <v>101.00000000000027</v>
      </c>
      <c r="AG306" s="872">
        <f t="shared" si="69"/>
        <v>114.46666666666684</v>
      </c>
      <c r="AH306" s="872">
        <f t="shared" si="69"/>
        <v>122.88333333333294</v>
      </c>
      <c r="AI306" s="872">
        <f t="shared" si="69"/>
        <v>92.583333333333243</v>
      </c>
      <c r="AJ306" s="872">
        <f t="shared" si="70"/>
        <v>106.05000000000032</v>
      </c>
      <c r="AK306" s="872">
        <f t="shared" si="72"/>
        <v>114.46666666666684</v>
      </c>
    </row>
    <row r="307" spans="1:37" ht="13.5" thickBot="1">
      <c r="A307" s="868"/>
      <c r="B307" s="868"/>
      <c r="C307" s="868"/>
      <c r="D307" s="873">
        <f t="shared" si="47"/>
        <v>0.844444444444442</v>
      </c>
      <c r="E307" s="872">
        <f t="shared" si="71"/>
        <v>236.4444444444448</v>
      </c>
      <c r="F307" s="872">
        <f t="shared" si="71"/>
        <v>249.95555555555688</v>
      </c>
      <c r="G307" s="872">
        <f t="shared" si="71"/>
        <v>258.39999999999873</v>
      </c>
      <c r="H307" s="872">
        <f t="shared" si="71"/>
        <v>219.5555555555552</v>
      </c>
      <c r="I307" s="872">
        <f t="shared" si="71"/>
        <v>233.06666666666666</v>
      </c>
      <c r="J307" s="872">
        <f t="shared" si="71"/>
        <v>241.51111111111177</v>
      </c>
      <c r="K307" s="872">
        <f t="shared" si="71"/>
        <v>202.6666666666672</v>
      </c>
      <c r="L307" s="872">
        <f t="shared" si="71"/>
        <v>216.17777777777792</v>
      </c>
      <c r="M307" s="872">
        <f t="shared" si="71"/>
        <v>224.62222222222272</v>
      </c>
      <c r="N307" s="872">
        <f t="shared" si="71"/>
        <v>152</v>
      </c>
      <c r="O307" s="872">
        <f t="shared" si="71"/>
        <v>165.51111111111072</v>
      </c>
      <c r="P307" s="872">
        <f t="shared" si="71"/>
        <v>173.95555555555552</v>
      </c>
      <c r="Q307" s="872">
        <f t="shared" si="71"/>
        <v>143.5555555555552</v>
      </c>
      <c r="R307" s="872">
        <f t="shared" si="71"/>
        <v>157.06666666666592</v>
      </c>
      <c r="S307" s="872">
        <f t="shared" si="71"/>
        <v>165.51111111111072</v>
      </c>
      <c r="T307" s="872">
        <f t="shared" si="71"/>
        <v>135.1111111111104</v>
      </c>
      <c r="U307" s="872">
        <f t="shared" si="69"/>
        <v>148.62222222222272</v>
      </c>
      <c r="V307" s="872">
        <f t="shared" si="69"/>
        <v>157.06666666666592</v>
      </c>
      <c r="W307" s="872">
        <f t="shared" si="69"/>
        <v>126.66666666666714</v>
      </c>
      <c r="X307" s="872">
        <f t="shared" si="69"/>
        <v>140.17777777777792</v>
      </c>
      <c r="Y307" s="872">
        <f t="shared" si="69"/>
        <v>148.62222222222272</v>
      </c>
      <c r="Z307" s="872">
        <f t="shared" si="69"/>
        <v>118.2222222222224</v>
      </c>
      <c r="AA307" s="872">
        <f t="shared" si="69"/>
        <v>131.73333333333312</v>
      </c>
      <c r="AB307" s="872">
        <f>AB308-(AB$363/360)</f>
        <v>140.17777777777792</v>
      </c>
      <c r="AC307" s="872">
        <f>AC308-(AC$363/360)</f>
        <v>109.7777777777776</v>
      </c>
      <c r="AD307" s="872">
        <f>AD308-(AD$363/360)</f>
        <v>123.28888888888849</v>
      </c>
      <c r="AE307" s="872">
        <f t="shared" si="69"/>
        <v>131.73333333333312</v>
      </c>
      <c r="AF307" s="872">
        <f t="shared" si="69"/>
        <v>101.3333333333336</v>
      </c>
      <c r="AG307" s="872">
        <f t="shared" si="69"/>
        <v>114.84444444444462</v>
      </c>
      <c r="AH307" s="872">
        <f t="shared" si="69"/>
        <v>123.28888888888849</v>
      </c>
      <c r="AI307" s="872">
        <f t="shared" si="69"/>
        <v>92.8888888888888</v>
      </c>
      <c r="AJ307" s="872">
        <f t="shared" si="70"/>
        <v>106.40000000000032</v>
      </c>
      <c r="AK307" s="872">
        <f t="shared" si="72"/>
        <v>114.84444444444462</v>
      </c>
    </row>
    <row r="308" spans="1:37" ht="13.5" thickBot="1">
      <c r="A308" s="868"/>
      <c r="B308" s="868"/>
      <c r="C308" s="868"/>
      <c r="D308" s="873">
        <f t="shared" si="47"/>
        <v>0.84722222222221977</v>
      </c>
      <c r="E308" s="872">
        <f t="shared" si="71"/>
        <v>237.22222222222257</v>
      </c>
      <c r="F308" s="872">
        <f t="shared" si="71"/>
        <v>250.77777777777911</v>
      </c>
      <c r="G308" s="872">
        <f t="shared" si="71"/>
        <v>259.24999999999875</v>
      </c>
      <c r="H308" s="872">
        <f t="shared" si="71"/>
        <v>220.27777777777743</v>
      </c>
      <c r="I308" s="872">
        <f t="shared" si="71"/>
        <v>233.83333333333334</v>
      </c>
      <c r="J308" s="872">
        <f t="shared" si="71"/>
        <v>242.30555555555623</v>
      </c>
      <c r="K308" s="872">
        <f t="shared" si="71"/>
        <v>203.33333333333385</v>
      </c>
      <c r="L308" s="872">
        <f t="shared" si="71"/>
        <v>216.88888888888903</v>
      </c>
      <c r="M308" s="872">
        <f t="shared" si="71"/>
        <v>225.3611111111116</v>
      </c>
      <c r="N308" s="872">
        <f t="shared" si="71"/>
        <v>152.5</v>
      </c>
      <c r="O308" s="872">
        <f t="shared" si="71"/>
        <v>166.05555555555517</v>
      </c>
      <c r="P308" s="872">
        <f t="shared" si="71"/>
        <v>174.52777777777774</v>
      </c>
      <c r="Q308" s="872">
        <f t="shared" si="71"/>
        <v>144.02777777777743</v>
      </c>
      <c r="R308" s="872">
        <f t="shared" si="71"/>
        <v>157.5833333333326</v>
      </c>
      <c r="S308" s="872">
        <f t="shared" si="71"/>
        <v>166.05555555555517</v>
      </c>
      <c r="T308" s="872">
        <f t="shared" si="71"/>
        <v>135.55555555555486</v>
      </c>
      <c r="U308" s="872">
        <f t="shared" si="69"/>
        <v>149.1111111111116</v>
      </c>
      <c r="V308" s="872">
        <f t="shared" si="69"/>
        <v>157.5833333333326</v>
      </c>
      <c r="W308" s="872">
        <f t="shared" si="69"/>
        <v>127.08333333333381</v>
      </c>
      <c r="X308" s="872">
        <f t="shared" si="69"/>
        <v>140.63888888888903</v>
      </c>
      <c r="Y308" s="872">
        <f t="shared" si="69"/>
        <v>149.1111111111116</v>
      </c>
      <c r="Z308" s="872">
        <f t="shared" si="69"/>
        <v>118.61111111111128</v>
      </c>
      <c r="AA308" s="872">
        <f t="shared" si="69"/>
        <v>132.16666666666646</v>
      </c>
      <c r="AB308" s="872">
        <f t="shared" si="69"/>
        <v>140.63888888888903</v>
      </c>
      <c r="AC308" s="872">
        <f t="shared" si="69"/>
        <v>110.13888888888872</v>
      </c>
      <c r="AD308" s="872">
        <f t="shared" si="69"/>
        <v>123.69444444444404</v>
      </c>
      <c r="AE308" s="872">
        <f t="shared" si="69"/>
        <v>132.16666666666646</v>
      </c>
      <c r="AF308" s="872">
        <f t="shared" si="69"/>
        <v>101.66666666666693</v>
      </c>
      <c r="AG308" s="872">
        <f t="shared" si="69"/>
        <v>115.2222222222224</v>
      </c>
      <c r="AH308" s="872">
        <f t="shared" si="69"/>
        <v>123.69444444444404</v>
      </c>
      <c r="AI308" s="872">
        <f t="shared" si="69"/>
        <v>93.194444444444358</v>
      </c>
      <c r="AJ308" s="872">
        <f t="shared" si="70"/>
        <v>106.75000000000031</v>
      </c>
      <c r="AK308" s="872">
        <f t="shared" si="72"/>
        <v>115.2222222222224</v>
      </c>
    </row>
    <row r="309" spans="1:37" ht="13.5" thickBot="1">
      <c r="A309" s="868"/>
      <c r="B309" s="868"/>
      <c r="C309" s="868"/>
      <c r="D309" s="873">
        <f t="shared" si="47"/>
        <v>0.84999999999999754</v>
      </c>
      <c r="E309" s="872">
        <f t="shared" si="71"/>
        <v>238.00000000000034</v>
      </c>
      <c r="F309" s="872">
        <f t="shared" si="71"/>
        <v>251.60000000000133</v>
      </c>
      <c r="G309" s="872">
        <f t="shared" si="71"/>
        <v>260.09999999999877</v>
      </c>
      <c r="H309" s="872">
        <f t="shared" si="71"/>
        <v>220.99999999999966</v>
      </c>
      <c r="I309" s="872">
        <f t="shared" si="71"/>
        <v>234.60000000000002</v>
      </c>
      <c r="J309" s="872">
        <f t="shared" si="71"/>
        <v>243.10000000000068</v>
      </c>
      <c r="K309" s="872">
        <f t="shared" si="71"/>
        <v>204.00000000000051</v>
      </c>
      <c r="L309" s="872">
        <f t="shared" si="71"/>
        <v>217.60000000000014</v>
      </c>
      <c r="M309" s="872">
        <f t="shared" si="71"/>
        <v>226.10000000000048</v>
      </c>
      <c r="N309" s="872">
        <f t="shared" si="71"/>
        <v>153</v>
      </c>
      <c r="O309" s="872">
        <f t="shared" si="71"/>
        <v>166.59999999999962</v>
      </c>
      <c r="P309" s="872">
        <f t="shared" si="71"/>
        <v>175.09999999999997</v>
      </c>
      <c r="Q309" s="872">
        <f t="shared" si="71"/>
        <v>144.49999999999966</v>
      </c>
      <c r="R309" s="872">
        <f t="shared" si="71"/>
        <v>158.09999999999928</v>
      </c>
      <c r="S309" s="872">
        <f t="shared" si="71"/>
        <v>166.59999999999962</v>
      </c>
      <c r="T309" s="872">
        <f t="shared" si="71"/>
        <v>135.99999999999932</v>
      </c>
      <c r="U309" s="872">
        <f t="shared" si="69"/>
        <v>149.60000000000048</v>
      </c>
      <c r="V309" s="872">
        <f t="shared" si="69"/>
        <v>158.09999999999928</v>
      </c>
      <c r="W309" s="872">
        <f t="shared" si="69"/>
        <v>127.50000000000048</v>
      </c>
      <c r="X309" s="872">
        <f t="shared" si="69"/>
        <v>141.10000000000014</v>
      </c>
      <c r="Y309" s="872">
        <f t="shared" si="69"/>
        <v>149.60000000000048</v>
      </c>
      <c r="Z309" s="872">
        <f t="shared" si="69"/>
        <v>119.00000000000017</v>
      </c>
      <c r="AA309" s="872">
        <f t="shared" si="69"/>
        <v>132.5999999999998</v>
      </c>
      <c r="AB309" s="872">
        <f t="shared" si="69"/>
        <v>141.10000000000014</v>
      </c>
      <c r="AC309" s="872">
        <f t="shared" si="69"/>
        <v>110.49999999999983</v>
      </c>
      <c r="AD309" s="872">
        <f t="shared" si="69"/>
        <v>124.0999999999996</v>
      </c>
      <c r="AE309" s="872">
        <f t="shared" si="69"/>
        <v>132.5999999999998</v>
      </c>
      <c r="AF309" s="872">
        <f t="shared" si="69"/>
        <v>102.00000000000026</v>
      </c>
      <c r="AG309" s="872">
        <f t="shared" si="69"/>
        <v>115.60000000000018</v>
      </c>
      <c r="AH309" s="872">
        <f t="shared" si="69"/>
        <v>124.0999999999996</v>
      </c>
      <c r="AI309" s="872">
        <f t="shared" si="69"/>
        <v>93.499999999999915</v>
      </c>
      <c r="AJ309" s="872">
        <f t="shared" si="70"/>
        <v>107.10000000000031</v>
      </c>
      <c r="AK309" s="872">
        <f t="shared" si="72"/>
        <v>115.60000000000018</v>
      </c>
    </row>
    <row r="310" spans="1:37" ht="13.5" thickBot="1">
      <c r="A310" s="868"/>
      <c r="B310" s="868"/>
      <c r="C310" s="868"/>
      <c r="D310" s="873">
        <f t="shared" si="47"/>
        <v>0.8527777777777753</v>
      </c>
      <c r="E310" s="872">
        <f t="shared" si="71"/>
        <v>238.77777777777811</v>
      </c>
      <c r="F310" s="872">
        <f t="shared" si="71"/>
        <v>252.42222222222355</v>
      </c>
      <c r="G310" s="872">
        <f t="shared" si="71"/>
        <v>260.94999999999879</v>
      </c>
      <c r="H310" s="872">
        <f t="shared" si="71"/>
        <v>221.72222222222189</v>
      </c>
      <c r="I310" s="872">
        <f t="shared" si="71"/>
        <v>235.3666666666667</v>
      </c>
      <c r="J310" s="872">
        <f t="shared" si="71"/>
        <v>243.89444444444513</v>
      </c>
      <c r="K310" s="872">
        <f t="shared" si="71"/>
        <v>204.66666666666717</v>
      </c>
      <c r="L310" s="872">
        <f t="shared" si="71"/>
        <v>218.31111111111125</v>
      </c>
      <c r="M310" s="872">
        <f t="shared" si="71"/>
        <v>226.83888888888936</v>
      </c>
      <c r="N310" s="872">
        <f t="shared" si="71"/>
        <v>153.5</v>
      </c>
      <c r="O310" s="872">
        <f t="shared" si="71"/>
        <v>167.14444444444408</v>
      </c>
      <c r="P310" s="872">
        <f t="shared" si="71"/>
        <v>175.67222222222219</v>
      </c>
      <c r="Q310" s="872">
        <f t="shared" si="71"/>
        <v>144.97222222222189</v>
      </c>
      <c r="R310" s="872">
        <f t="shared" si="71"/>
        <v>158.61666666666596</v>
      </c>
      <c r="S310" s="872">
        <f t="shared" si="71"/>
        <v>167.14444444444408</v>
      </c>
      <c r="T310" s="872">
        <f t="shared" si="71"/>
        <v>136.44444444444377</v>
      </c>
      <c r="U310" s="872">
        <f t="shared" si="69"/>
        <v>150.08888888888936</v>
      </c>
      <c r="V310" s="872">
        <f t="shared" si="69"/>
        <v>158.61666666666596</v>
      </c>
      <c r="W310" s="872">
        <f t="shared" si="69"/>
        <v>127.91666666666715</v>
      </c>
      <c r="X310" s="872">
        <f t="shared" si="69"/>
        <v>141.56111111111125</v>
      </c>
      <c r="Y310" s="872">
        <f t="shared" si="69"/>
        <v>150.08888888888936</v>
      </c>
      <c r="Z310" s="872">
        <f t="shared" si="69"/>
        <v>119.38888888888906</v>
      </c>
      <c r="AA310" s="872">
        <f t="shared" si="69"/>
        <v>133.03333333333313</v>
      </c>
      <c r="AB310" s="872">
        <f t="shared" si="69"/>
        <v>141.56111111111125</v>
      </c>
      <c r="AC310" s="872">
        <f t="shared" si="69"/>
        <v>110.86111111111094</v>
      </c>
      <c r="AD310" s="872">
        <f t="shared" si="69"/>
        <v>124.50555555555515</v>
      </c>
      <c r="AE310" s="872">
        <f t="shared" si="69"/>
        <v>133.03333333333313</v>
      </c>
      <c r="AF310" s="872">
        <f t="shared" si="69"/>
        <v>102.33333333333358</v>
      </c>
      <c r="AG310" s="872">
        <f t="shared" si="69"/>
        <v>115.97777777777796</v>
      </c>
      <c r="AH310" s="872">
        <f t="shared" si="69"/>
        <v>124.50555555555515</v>
      </c>
      <c r="AI310" s="872">
        <f t="shared" si="69"/>
        <v>93.805555555555472</v>
      </c>
      <c r="AJ310" s="872">
        <f t="shared" si="70"/>
        <v>107.4500000000003</v>
      </c>
      <c r="AK310" s="872">
        <f t="shared" si="72"/>
        <v>115.97777777777796</v>
      </c>
    </row>
    <row r="311" spans="1:37" ht="13.5" thickBot="1">
      <c r="A311" s="868"/>
      <c r="B311" s="868"/>
      <c r="C311" s="868"/>
      <c r="D311" s="873">
        <f t="shared" si="47"/>
        <v>0.85555555555555307</v>
      </c>
      <c r="E311" s="872">
        <f t="shared" si="71"/>
        <v>239.55555555555588</v>
      </c>
      <c r="F311" s="872">
        <f t="shared" si="71"/>
        <v>253.24444444444578</v>
      </c>
      <c r="G311" s="872">
        <f t="shared" si="71"/>
        <v>261.79999999999882</v>
      </c>
      <c r="H311" s="872">
        <f t="shared" si="71"/>
        <v>222.44444444444412</v>
      </c>
      <c r="I311" s="872">
        <f t="shared" si="71"/>
        <v>236.13333333333338</v>
      </c>
      <c r="J311" s="872">
        <f t="shared" si="71"/>
        <v>244.68888888888958</v>
      </c>
      <c r="K311" s="872">
        <f t="shared" si="71"/>
        <v>205.33333333333383</v>
      </c>
      <c r="L311" s="872">
        <f t="shared" si="71"/>
        <v>219.02222222222235</v>
      </c>
      <c r="M311" s="872">
        <f t="shared" si="71"/>
        <v>227.57777777777824</v>
      </c>
      <c r="N311" s="872">
        <f t="shared" si="71"/>
        <v>154</v>
      </c>
      <c r="O311" s="872">
        <f t="shared" si="71"/>
        <v>167.68888888888853</v>
      </c>
      <c r="P311" s="872">
        <f t="shared" si="71"/>
        <v>176.24444444444441</v>
      </c>
      <c r="Q311" s="872">
        <f t="shared" si="71"/>
        <v>145.44444444444412</v>
      </c>
      <c r="R311" s="872">
        <f t="shared" si="71"/>
        <v>159.13333333333264</v>
      </c>
      <c r="S311" s="872">
        <f t="shared" si="71"/>
        <v>167.68888888888853</v>
      </c>
      <c r="T311" s="872">
        <f t="shared" si="71"/>
        <v>136.88888888888823</v>
      </c>
      <c r="U311" s="872">
        <f t="shared" si="69"/>
        <v>150.57777777777824</v>
      </c>
      <c r="V311" s="872">
        <f t="shared" si="69"/>
        <v>159.13333333333264</v>
      </c>
      <c r="W311" s="872">
        <f t="shared" si="69"/>
        <v>128.33333333333383</v>
      </c>
      <c r="X311" s="872">
        <f t="shared" si="69"/>
        <v>142.02222222222235</v>
      </c>
      <c r="Y311" s="872">
        <f t="shared" si="69"/>
        <v>150.57777777777824</v>
      </c>
      <c r="Z311" s="872">
        <f t="shared" si="69"/>
        <v>119.77777777777794</v>
      </c>
      <c r="AA311" s="872">
        <f t="shared" si="69"/>
        <v>133.46666666666647</v>
      </c>
      <c r="AB311" s="872">
        <f t="shared" si="69"/>
        <v>142.02222222222235</v>
      </c>
      <c r="AC311" s="872">
        <f t="shared" si="69"/>
        <v>111.22222222222206</v>
      </c>
      <c r="AD311" s="872">
        <f t="shared" si="69"/>
        <v>124.9111111111107</v>
      </c>
      <c r="AE311" s="872">
        <f t="shared" si="69"/>
        <v>133.46666666666647</v>
      </c>
      <c r="AF311" s="872">
        <f t="shared" si="69"/>
        <v>102.66666666666691</v>
      </c>
      <c r="AG311" s="872">
        <f t="shared" si="69"/>
        <v>116.35555555555574</v>
      </c>
      <c r="AH311" s="872">
        <f t="shared" si="69"/>
        <v>124.9111111111107</v>
      </c>
      <c r="AI311" s="872">
        <f t="shared" si="69"/>
        <v>94.111111111111029</v>
      </c>
      <c r="AJ311" s="872">
        <f t="shared" si="70"/>
        <v>107.8000000000003</v>
      </c>
      <c r="AK311" s="872">
        <f t="shared" si="72"/>
        <v>116.35555555555574</v>
      </c>
    </row>
    <row r="312" spans="1:37" ht="13.5" thickBot="1">
      <c r="A312" s="868"/>
      <c r="B312" s="868"/>
      <c r="C312" s="868"/>
      <c r="D312" s="873">
        <f t="shared" si="47"/>
        <v>0.85833333333333084</v>
      </c>
      <c r="E312" s="872">
        <f t="shared" si="71"/>
        <v>240.33333333333366</v>
      </c>
      <c r="F312" s="872">
        <f t="shared" si="71"/>
        <v>254.066666666668</v>
      </c>
      <c r="G312" s="872">
        <f t="shared" si="71"/>
        <v>262.64999999999884</v>
      </c>
      <c r="H312" s="872">
        <f t="shared" si="71"/>
        <v>223.16666666666634</v>
      </c>
      <c r="I312" s="872">
        <f t="shared" si="71"/>
        <v>236.90000000000006</v>
      </c>
      <c r="J312" s="872">
        <f t="shared" si="71"/>
        <v>245.48333333333403</v>
      </c>
      <c r="K312" s="872">
        <f t="shared" si="71"/>
        <v>206.00000000000048</v>
      </c>
      <c r="L312" s="872">
        <f t="shared" si="71"/>
        <v>219.73333333333346</v>
      </c>
      <c r="M312" s="872">
        <f t="shared" si="71"/>
        <v>228.31666666666712</v>
      </c>
      <c r="N312" s="872">
        <f t="shared" si="71"/>
        <v>154.5</v>
      </c>
      <c r="O312" s="872">
        <f t="shared" si="71"/>
        <v>168.23333333333298</v>
      </c>
      <c r="P312" s="872">
        <f t="shared" si="71"/>
        <v>176.81666666666663</v>
      </c>
      <c r="Q312" s="872">
        <f t="shared" si="71"/>
        <v>145.91666666666634</v>
      </c>
      <c r="R312" s="872">
        <f t="shared" si="71"/>
        <v>159.64999999999932</v>
      </c>
      <c r="S312" s="872">
        <f t="shared" si="71"/>
        <v>168.23333333333298</v>
      </c>
      <c r="T312" s="872">
        <f t="shared" si="71"/>
        <v>137.33333333333269</v>
      </c>
      <c r="U312" s="872">
        <f t="shared" si="69"/>
        <v>151.06666666666712</v>
      </c>
      <c r="V312" s="872">
        <f t="shared" si="69"/>
        <v>159.64999999999932</v>
      </c>
      <c r="W312" s="872">
        <f t="shared" si="69"/>
        <v>128.75000000000048</v>
      </c>
      <c r="X312" s="872">
        <f t="shared" si="69"/>
        <v>142.48333333333346</v>
      </c>
      <c r="Y312" s="872">
        <f t="shared" si="69"/>
        <v>151.06666666666712</v>
      </c>
      <c r="Z312" s="872">
        <f t="shared" si="69"/>
        <v>120.16666666666683</v>
      </c>
      <c r="AA312" s="872">
        <f t="shared" si="69"/>
        <v>133.89999999999981</v>
      </c>
      <c r="AB312" s="872">
        <f t="shared" si="69"/>
        <v>142.48333333333346</v>
      </c>
      <c r="AC312" s="872">
        <f t="shared" si="69"/>
        <v>111.58333333333317</v>
      </c>
      <c r="AD312" s="872">
        <f t="shared" si="69"/>
        <v>125.31666666666625</v>
      </c>
      <c r="AE312" s="872">
        <f t="shared" si="69"/>
        <v>133.89999999999981</v>
      </c>
      <c r="AF312" s="872">
        <f t="shared" si="69"/>
        <v>103.00000000000024</v>
      </c>
      <c r="AG312" s="872">
        <f t="shared" si="69"/>
        <v>116.73333333333352</v>
      </c>
      <c r="AH312" s="872">
        <f t="shared" si="69"/>
        <v>125.31666666666625</v>
      </c>
      <c r="AI312" s="872">
        <f t="shared" si="69"/>
        <v>94.416666666666586</v>
      </c>
      <c r="AJ312" s="872">
        <f t="shared" si="70"/>
        <v>108.15000000000029</v>
      </c>
      <c r="AK312" s="872">
        <f t="shared" si="72"/>
        <v>116.73333333333352</v>
      </c>
    </row>
    <row r="313" spans="1:37" ht="13.5" thickBot="1">
      <c r="A313" s="868"/>
      <c r="B313" s="868"/>
      <c r="C313" s="868"/>
      <c r="D313" s="873">
        <f t="shared" si="47"/>
        <v>0.86111111111110861</v>
      </c>
      <c r="E313" s="872">
        <f t="shared" si="71"/>
        <v>241.11111111111143</v>
      </c>
      <c r="F313" s="872">
        <f t="shared" si="71"/>
        <v>254.88888888889022</v>
      </c>
      <c r="G313" s="872">
        <f t="shared" si="71"/>
        <v>263.49999999999886</v>
      </c>
      <c r="H313" s="872">
        <f t="shared" si="71"/>
        <v>223.88888888888857</v>
      </c>
      <c r="I313" s="872">
        <f t="shared" si="71"/>
        <v>237.66666666666674</v>
      </c>
      <c r="J313" s="872">
        <f t="shared" si="71"/>
        <v>246.27777777777848</v>
      </c>
      <c r="K313" s="872">
        <f t="shared" si="71"/>
        <v>206.66666666666714</v>
      </c>
      <c r="L313" s="872">
        <f t="shared" si="71"/>
        <v>220.44444444444457</v>
      </c>
      <c r="M313" s="872">
        <f t="shared" si="71"/>
        <v>229.055555555556</v>
      </c>
      <c r="N313" s="872">
        <f t="shared" si="71"/>
        <v>155</v>
      </c>
      <c r="O313" s="872">
        <f t="shared" si="71"/>
        <v>168.77777777777743</v>
      </c>
      <c r="P313" s="872">
        <f t="shared" si="71"/>
        <v>177.38888888888886</v>
      </c>
      <c r="Q313" s="872">
        <f t="shared" si="71"/>
        <v>146.38888888888857</v>
      </c>
      <c r="R313" s="872">
        <f t="shared" si="71"/>
        <v>160.166666666666</v>
      </c>
      <c r="S313" s="872">
        <f t="shared" si="71"/>
        <v>168.77777777777743</v>
      </c>
      <c r="T313" s="872">
        <f t="shared" si="71"/>
        <v>137.77777777777715</v>
      </c>
      <c r="U313" s="872">
        <f t="shared" si="69"/>
        <v>151.555555555556</v>
      </c>
      <c r="V313" s="872">
        <f t="shared" si="69"/>
        <v>160.166666666666</v>
      </c>
      <c r="W313" s="872">
        <f t="shared" si="69"/>
        <v>129.16666666666714</v>
      </c>
      <c r="X313" s="872">
        <f t="shared" si="69"/>
        <v>142.94444444444457</v>
      </c>
      <c r="Y313" s="872">
        <f t="shared" si="69"/>
        <v>151.555555555556</v>
      </c>
      <c r="Z313" s="872">
        <f t="shared" si="69"/>
        <v>120.55555555555571</v>
      </c>
      <c r="AA313" s="872">
        <f t="shared" si="69"/>
        <v>134.33333333333314</v>
      </c>
      <c r="AB313" s="872">
        <f t="shared" si="69"/>
        <v>142.94444444444457</v>
      </c>
      <c r="AC313" s="872">
        <f t="shared" si="69"/>
        <v>111.94444444444429</v>
      </c>
      <c r="AD313" s="872">
        <f t="shared" si="69"/>
        <v>125.7222222222218</v>
      </c>
      <c r="AE313" s="872">
        <f t="shared" si="69"/>
        <v>134.33333333333314</v>
      </c>
      <c r="AF313" s="872">
        <f>AF314-(AF$363/360)</f>
        <v>103.33333333333357</v>
      </c>
      <c r="AG313" s="872">
        <f>AG314-(AG$363/360)</f>
        <v>117.1111111111113</v>
      </c>
      <c r="AH313" s="872">
        <f>AH314-(AH$363/360)</f>
        <v>125.7222222222218</v>
      </c>
      <c r="AI313" s="872">
        <f>AI314-(AI$363/360)</f>
        <v>94.722222222222143</v>
      </c>
      <c r="AJ313" s="872">
        <f t="shared" si="70"/>
        <v>108.50000000000028</v>
      </c>
      <c r="AK313" s="872">
        <f t="shared" si="72"/>
        <v>117.1111111111113</v>
      </c>
    </row>
    <row r="314" spans="1:37" ht="13.5" thickBot="1">
      <c r="A314" s="868"/>
      <c r="B314" s="868"/>
      <c r="C314" s="868"/>
      <c r="D314" s="873">
        <f t="shared" si="47"/>
        <v>0.86388888888888637</v>
      </c>
      <c r="E314" s="872">
        <f t="shared" si="71"/>
        <v>241.8888888888892</v>
      </c>
      <c r="F314" s="872">
        <f t="shared" si="71"/>
        <v>255.71111111111244</v>
      </c>
      <c r="G314" s="872">
        <f t="shared" si="71"/>
        <v>264.34999999999889</v>
      </c>
      <c r="H314" s="872">
        <f t="shared" si="71"/>
        <v>224.6111111111108</v>
      </c>
      <c r="I314" s="872">
        <f t="shared" si="71"/>
        <v>238.43333333333342</v>
      </c>
      <c r="J314" s="872">
        <f t="shared" si="71"/>
        <v>247.07222222222293</v>
      </c>
      <c r="K314" s="872">
        <f t="shared" ref="K314:Z314" si="73">K315-(K$363/360)</f>
        <v>207.3333333333338</v>
      </c>
      <c r="L314" s="872">
        <f t="shared" si="73"/>
        <v>221.15555555555568</v>
      </c>
      <c r="M314" s="872">
        <f t="shared" si="73"/>
        <v>229.79444444444488</v>
      </c>
      <c r="N314" s="872">
        <f t="shared" si="73"/>
        <v>155.5</v>
      </c>
      <c r="O314" s="872">
        <f t="shared" si="73"/>
        <v>169.32222222222188</v>
      </c>
      <c r="P314" s="872">
        <f t="shared" si="73"/>
        <v>177.96111111111108</v>
      </c>
      <c r="Q314" s="872">
        <f t="shared" si="73"/>
        <v>146.8611111111108</v>
      </c>
      <c r="R314" s="872">
        <f t="shared" si="73"/>
        <v>160.68333333333268</v>
      </c>
      <c r="S314" s="872">
        <f t="shared" si="73"/>
        <v>169.32222222222188</v>
      </c>
      <c r="T314" s="872">
        <f t="shared" si="73"/>
        <v>138.2222222222216</v>
      </c>
      <c r="U314" s="872">
        <f t="shared" si="73"/>
        <v>152.04444444444488</v>
      </c>
      <c r="V314" s="872">
        <f t="shared" si="73"/>
        <v>160.68333333333268</v>
      </c>
      <c r="W314" s="872">
        <f t="shared" si="73"/>
        <v>129.5833333333338</v>
      </c>
      <c r="X314" s="872">
        <f t="shared" si="73"/>
        <v>143.40555555555568</v>
      </c>
      <c r="Y314" s="872">
        <f t="shared" si="73"/>
        <v>152.04444444444488</v>
      </c>
      <c r="Z314" s="872">
        <f t="shared" si="73"/>
        <v>120.9444444444446</v>
      </c>
      <c r="AA314" s="872">
        <f t="shared" ref="AA314:AI329" si="74">AA315-(AA$363/360)</f>
        <v>134.76666666666648</v>
      </c>
      <c r="AB314" s="872">
        <f t="shared" si="74"/>
        <v>143.40555555555568</v>
      </c>
      <c r="AC314" s="872">
        <f t="shared" si="74"/>
        <v>112.3055555555554</v>
      </c>
      <c r="AD314" s="872">
        <f t="shared" si="74"/>
        <v>126.12777777777735</v>
      </c>
      <c r="AE314" s="872">
        <f t="shared" si="74"/>
        <v>134.76666666666648</v>
      </c>
      <c r="AF314" s="872">
        <f t="shared" si="74"/>
        <v>103.6666666666669</v>
      </c>
      <c r="AG314" s="872">
        <f t="shared" si="74"/>
        <v>117.48888888888908</v>
      </c>
      <c r="AH314" s="872">
        <f t="shared" si="74"/>
        <v>126.12777777777735</v>
      </c>
      <c r="AI314" s="872">
        <f t="shared" si="74"/>
        <v>95.0277777777777</v>
      </c>
      <c r="AJ314" s="872">
        <f t="shared" si="70"/>
        <v>108.85000000000028</v>
      </c>
      <c r="AK314" s="872">
        <f t="shared" si="72"/>
        <v>117.48888888888908</v>
      </c>
    </row>
    <row r="315" spans="1:37" ht="13.5" thickBot="1">
      <c r="A315" s="868"/>
      <c r="B315" s="868"/>
      <c r="C315" s="868"/>
      <c r="D315" s="873">
        <f t="shared" si="47"/>
        <v>0.86666666666666414</v>
      </c>
      <c r="E315" s="872">
        <f t="shared" ref="E315:T330" si="75">E316-(E$363/360)</f>
        <v>242.66666666666697</v>
      </c>
      <c r="F315" s="872">
        <f t="shared" si="75"/>
        <v>256.53333333333467</v>
      </c>
      <c r="G315" s="872">
        <f t="shared" si="75"/>
        <v>265.19999999999891</v>
      </c>
      <c r="H315" s="872">
        <f t="shared" si="75"/>
        <v>225.33333333333303</v>
      </c>
      <c r="I315" s="872">
        <f t="shared" si="75"/>
        <v>239.2000000000001</v>
      </c>
      <c r="J315" s="872">
        <f t="shared" si="75"/>
        <v>247.86666666666738</v>
      </c>
      <c r="K315" s="872">
        <f t="shared" si="75"/>
        <v>208.00000000000045</v>
      </c>
      <c r="L315" s="872">
        <f t="shared" si="75"/>
        <v>221.86666666666679</v>
      </c>
      <c r="M315" s="872">
        <f t="shared" si="75"/>
        <v>230.53333333333376</v>
      </c>
      <c r="N315" s="872">
        <f t="shared" si="75"/>
        <v>156</v>
      </c>
      <c r="O315" s="872">
        <f t="shared" si="75"/>
        <v>169.86666666666633</v>
      </c>
      <c r="P315" s="872">
        <f t="shared" si="75"/>
        <v>178.5333333333333</v>
      </c>
      <c r="Q315" s="872">
        <f t="shared" si="75"/>
        <v>147.33333333333303</v>
      </c>
      <c r="R315" s="872">
        <f t="shared" si="75"/>
        <v>161.19999999999936</v>
      </c>
      <c r="S315" s="872">
        <f t="shared" si="75"/>
        <v>169.86666666666633</v>
      </c>
      <c r="T315" s="872">
        <f t="shared" si="75"/>
        <v>138.66666666666606</v>
      </c>
      <c r="U315" s="872">
        <f t="shared" ref="U315:U330" si="76">U316-(U$363/360)</f>
        <v>152.53333333333376</v>
      </c>
      <c r="V315" s="872">
        <f t="shared" ref="V315:V330" si="77">V316-(V$363/360)</f>
        <v>161.19999999999936</v>
      </c>
      <c r="W315" s="872">
        <f t="shared" ref="W315:W330" si="78">W316-(W$363/360)</f>
        <v>130.00000000000045</v>
      </c>
      <c r="X315" s="872">
        <f t="shared" ref="X315:X330" si="79">X316-(X$363/360)</f>
        <v>143.86666666666679</v>
      </c>
      <c r="Y315" s="872">
        <f t="shared" ref="Y315:Y330" si="80">Y316-(Y$363/360)</f>
        <v>152.53333333333376</v>
      </c>
      <c r="Z315" s="872">
        <f t="shared" ref="Z315:Z330" si="81">Z316-(Z$363/360)</f>
        <v>121.33333333333348</v>
      </c>
      <c r="AA315" s="872">
        <f t="shared" si="74"/>
        <v>135.19999999999982</v>
      </c>
      <c r="AB315" s="872">
        <f t="shared" si="74"/>
        <v>143.86666666666679</v>
      </c>
      <c r="AC315" s="872">
        <f t="shared" si="74"/>
        <v>112.66666666666652</v>
      </c>
      <c r="AD315" s="872">
        <f t="shared" si="74"/>
        <v>126.53333333333291</v>
      </c>
      <c r="AE315" s="872">
        <f t="shared" si="74"/>
        <v>135.19999999999982</v>
      </c>
      <c r="AF315" s="872">
        <f t="shared" si="74"/>
        <v>104.00000000000023</v>
      </c>
      <c r="AG315" s="872">
        <f t="shared" si="74"/>
        <v>117.86666666666686</v>
      </c>
      <c r="AH315" s="872">
        <f t="shared" si="74"/>
        <v>126.53333333333291</v>
      </c>
      <c r="AI315" s="872">
        <f t="shared" si="74"/>
        <v>95.333333333333258</v>
      </c>
      <c r="AJ315" s="872">
        <f t="shared" si="70"/>
        <v>109.20000000000027</v>
      </c>
      <c r="AK315" s="872">
        <f t="shared" si="72"/>
        <v>117.86666666666686</v>
      </c>
    </row>
    <row r="316" spans="1:37" ht="13.5" thickBot="1">
      <c r="A316" s="868"/>
      <c r="B316" s="868"/>
      <c r="C316" s="868"/>
      <c r="D316" s="873">
        <f t="shared" si="47"/>
        <v>0.86944444444444191</v>
      </c>
      <c r="E316" s="872">
        <f t="shared" si="75"/>
        <v>243.44444444444474</v>
      </c>
      <c r="F316" s="872">
        <f t="shared" si="75"/>
        <v>257.35555555555686</v>
      </c>
      <c r="G316" s="872">
        <f t="shared" si="75"/>
        <v>266.04999999999893</v>
      </c>
      <c r="H316" s="872">
        <f t="shared" si="75"/>
        <v>226.05555555555526</v>
      </c>
      <c r="I316" s="872">
        <f t="shared" si="75"/>
        <v>239.96666666666678</v>
      </c>
      <c r="J316" s="872">
        <f t="shared" si="75"/>
        <v>248.66111111111184</v>
      </c>
      <c r="K316" s="872">
        <f t="shared" si="75"/>
        <v>208.66666666666711</v>
      </c>
      <c r="L316" s="872">
        <f t="shared" si="75"/>
        <v>222.5777777777779</v>
      </c>
      <c r="M316" s="872">
        <f t="shared" si="75"/>
        <v>231.27222222222264</v>
      </c>
      <c r="N316" s="872">
        <f t="shared" si="75"/>
        <v>156.5</v>
      </c>
      <c r="O316" s="872">
        <f t="shared" si="75"/>
        <v>170.41111111111078</v>
      </c>
      <c r="P316" s="872">
        <f t="shared" si="75"/>
        <v>179.10555555555553</v>
      </c>
      <c r="Q316" s="872">
        <f t="shared" si="75"/>
        <v>147.80555555555526</v>
      </c>
      <c r="R316" s="872">
        <f t="shared" si="75"/>
        <v>161.71666666666604</v>
      </c>
      <c r="S316" s="872">
        <f t="shared" si="75"/>
        <v>170.41111111111078</v>
      </c>
      <c r="T316" s="872">
        <f t="shared" si="75"/>
        <v>139.11111111111052</v>
      </c>
      <c r="U316" s="872">
        <f t="shared" si="76"/>
        <v>153.02222222222264</v>
      </c>
      <c r="V316" s="872">
        <f t="shared" si="77"/>
        <v>161.71666666666604</v>
      </c>
      <c r="W316" s="872">
        <f t="shared" si="78"/>
        <v>130.41666666666711</v>
      </c>
      <c r="X316" s="872">
        <f t="shared" si="79"/>
        <v>144.3277777777779</v>
      </c>
      <c r="Y316" s="872">
        <f t="shared" si="80"/>
        <v>153.02222222222264</v>
      </c>
      <c r="Z316" s="872">
        <f t="shared" si="81"/>
        <v>121.72222222222237</v>
      </c>
      <c r="AA316" s="872">
        <f t="shared" si="74"/>
        <v>135.63333333333316</v>
      </c>
      <c r="AB316" s="872">
        <f t="shared" si="74"/>
        <v>144.3277777777779</v>
      </c>
      <c r="AC316" s="872">
        <f t="shared" si="74"/>
        <v>113.02777777777763</v>
      </c>
      <c r="AD316" s="872">
        <f t="shared" si="74"/>
        <v>126.93888888888846</v>
      </c>
      <c r="AE316" s="872">
        <f t="shared" si="74"/>
        <v>135.63333333333316</v>
      </c>
      <c r="AF316" s="872">
        <f t="shared" si="74"/>
        <v>104.33333333333356</v>
      </c>
      <c r="AG316" s="872">
        <f t="shared" si="74"/>
        <v>118.24444444444464</v>
      </c>
      <c r="AH316" s="872">
        <f t="shared" si="74"/>
        <v>126.93888888888846</v>
      </c>
      <c r="AI316" s="872">
        <f t="shared" si="74"/>
        <v>95.638888888888815</v>
      </c>
      <c r="AJ316" s="872">
        <f t="shared" si="70"/>
        <v>109.55000000000027</v>
      </c>
      <c r="AK316" s="872">
        <f t="shared" si="72"/>
        <v>118.24444444444464</v>
      </c>
    </row>
    <row r="317" spans="1:37" ht="13.5" thickBot="1">
      <c r="A317" s="868"/>
      <c r="B317" s="868"/>
      <c r="C317" s="868"/>
      <c r="D317" s="873">
        <f t="shared" si="47"/>
        <v>0.87222222222221968</v>
      </c>
      <c r="E317" s="872">
        <f t="shared" si="75"/>
        <v>244.22222222222251</v>
      </c>
      <c r="F317" s="872">
        <f t="shared" si="75"/>
        <v>258.17777777777906</v>
      </c>
      <c r="G317" s="872">
        <f t="shared" si="75"/>
        <v>266.89999999999895</v>
      </c>
      <c r="H317" s="872">
        <f t="shared" si="75"/>
        <v>226.77777777777749</v>
      </c>
      <c r="I317" s="872">
        <f t="shared" si="75"/>
        <v>240.73333333333346</v>
      </c>
      <c r="J317" s="872">
        <f t="shared" si="75"/>
        <v>249.45555555555629</v>
      </c>
      <c r="K317" s="872">
        <f t="shared" si="75"/>
        <v>209.33333333333377</v>
      </c>
      <c r="L317" s="872">
        <f t="shared" si="75"/>
        <v>223.28888888888901</v>
      </c>
      <c r="M317" s="872">
        <f t="shared" si="75"/>
        <v>232.01111111111152</v>
      </c>
      <c r="N317" s="872">
        <f t="shared" si="75"/>
        <v>157</v>
      </c>
      <c r="O317" s="872">
        <f t="shared" si="75"/>
        <v>170.95555555555524</v>
      </c>
      <c r="P317" s="872">
        <f t="shared" si="75"/>
        <v>179.67777777777775</v>
      </c>
      <c r="Q317" s="872">
        <f t="shared" si="75"/>
        <v>148.27777777777749</v>
      </c>
      <c r="R317" s="872">
        <f t="shared" si="75"/>
        <v>162.23333333333272</v>
      </c>
      <c r="S317" s="872">
        <f t="shared" si="75"/>
        <v>170.95555555555524</v>
      </c>
      <c r="T317" s="872">
        <f t="shared" si="75"/>
        <v>139.55555555555497</v>
      </c>
      <c r="U317" s="872">
        <f t="shared" si="76"/>
        <v>153.51111111111152</v>
      </c>
      <c r="V317" s="872">
        <f t="shared" si="77"/>
        <v>162.23333333333272</v>
      </c>
      <c r="W317" s="872">
        <f t="shared" si="78"/>
        <v>130.83333333333377</v>
      </c>
      <c r="X317" s="872">
        <f t="shared" si="79"/>
        <v>144.78888888888901</v>
      </c>
      <c r="Y317" s="872">
        <f t="shared" si="80"/>
        <v>153.51111111111152</v>
      </c>
      <c r="Z317" s="872">
        <f t="shared" si="81"/>
        <v>122.11111111111126</v>
      </c>
      <c r="AA317" s="872">
        <f t="shared" si="74"/>
        <v>136.06666666666649</v>
      </c>
      <c r="AB317" s="872">
        <f t="shared" si="74"/>
        <v>144.78888888888901</v>
      </c>
      <c r="AC317" s="872">
        <f t="shared" si="74"/>
        <v>113.38888888888874</v>
      </c>
      <c r="AD317" s="872">
        <f t="shared" si="74"/>
        <v>127.34444444444401</v>
      </c>
      <c r="AE317" s="872">
        <f t="shared" si="74"/>
        <v>136.06666666666649</v>
      </c>
      <c r="AF317" s="872">
        <f t="shared" si="74"/>
        <v>104.66666666666688</v>
      </c>
      <c r="AG317" s="872">
        <f t="shared" si="74"/>
        <v>118.62222222222242</v>
      </c>
      <c r="AH317" s="872">
        <f t="shared" si="74"/>
        <v>127.34444444444401</v>
      </c>
      <c r="AI317" s="872">
        <f t="shared" si="74"/>
        <v>95.944444444444372</v>
      </c>
      <c r="AJ317" s="872">
        <f t="shared" si="70"/>
        <v>109.90000000000026</v>
      </c>
      <c r="AK317" s="872">
        <f t="shared" si="72"/>
        <v>118.62222222222242</v>
      </c>
    </row>
    <row r="318" spans="1:37" ht="13.5" thickBot="1">
      <c r="A318" s="868"/>
      <c r="B318" s="868"/>
      <c r="C318" s="868"/>
      <c r="D318" s="873">
        <f t="shared" si="47"/>
        <v>0.87499999999999745</v>
      </c>
      <c r="E318" s="872">
        <f t="shared" si="75"/>
        <v>245.00000000000028</v>
      </c>
      <c r="F318" s="872">
        <f t="shared" si="75"/>
        <v>259.00000000000125</v>
      </c>
      <c r="G318" s="872">
        <f t="shared" si="75"/>
        <v>267.74999999999898</v>
      </c>
      <c r="H318" s="872">
        <f t="shared" si="75"/>
        <v>227.49999999999972</v>
      </c>
      <c r="I318" s="872">
        <f t="shared" si="75"/>
        <v>241.50000000000014</v>
      </c>
      <c r="J318" s="872">
        <f t="shared" si="75"/>
        <v>250.25000000000074</v>
      </c>
      <c r="K318" s="872">
        <f t="shared" si="75"/>
        <v>210.00000000000043</v>
      </c>
      <c r="L318" s="872">
        <f t="shared" si="75"/>
        <v>224.00000000000011</v>
      </c>
      <c r="M318" s="872">
        <f t="shared" si="75"/>
        <v>232.7500000000004</v>
      </c>
      <c r="N318" s="872">
        <f t="shared" si="75"/>
        <v>157.5</v>
      </c>
      <c r="O318" s="872">
        <f t="shared" si="75"/>
        <v>171.49999999999969</v>
      </c>
      <c r="P318" s="872">
        <f t="shared" si="75"/>
        <v>180.24999999999997</v>
      </c>
      <c r="Q318" s="872">
        <f t="shared" si="75"/>
        <v>148.74999999999972</v>
      </c>
      <c r="R318" s="872">
        <f t="shared" si="75"/>
        <v>162.7499999999994</v>
      </c>
      <c r="S318" s="872">
        <f t="shared" si="75"/>
        <v>171.49999999999969</v>
      </c>
      <c r="T318" s="872">
        <f t="shared" si="75"/>
        <v>139.99999999999943</v>
      </c>
      <c r="U318" s="872">
        <f t="shared" si="76"/>
        <v>154.0000000000004</v>
      </c>
      <c r="V318" s="872">
        <f t="shared" si="77"/>
        <v>162.7499999999994</v>
      </c>
      <c r="W318" s="872">
        <f t="shared" si="78"/>
        <v>131.25000000000043</v>
      </c>
      <c r="X318" s="872">
        <f t="shared" si="79"/>
        <v>145.25000000000011</v>
      </c>
      <c r="Y318" s="872">
        <f t="shared" si="80"/>
        <v>154.0000000000004</v>
      </c>
      <c r="Z318" s="872">
        <f t="shared" si="81"/>
        <v>122.50000000000014</v>
      </c>
      <c r="AA318" s="872">
        <f t="shared" si="74"/>
        <v>136.49999999999983</v>
      </c>
      <c r="AB318" s="872">
        <f t="shared" si="74"/>
        <v>145.25000000000011</v>
      </c>
      <c r="AC318" s="872">
        <f t="shared" si="74"/>
        <v>113.74999999999986</v>
      </c>
      <c r="AD318" s="872">
        <f t="shared" si="74"/>
        <v>127.74999999999956</v>
      </c>
      <c r="AE318" s="872">
        <f t="shared" si="74"/>
        <v>136.49999999999983</v>
      </c>
      <c r="AF318" s="872">
        <f t="shared" si="74"/>
        <v>105.00000000000021</v>
      </c>
      <c r="AG318" s="872">
        <f t="shared" si="74"/>
        <v>119.0000000000002</v>
      </c>
      <c r="AH318" s="872">
        <f t="shared" si="74"/>
        <v>127.74999999999956</v>
      </c>
      <c r="AI318" s="872">
        <f t="shared" si="74"/>
        <v>96.249999999999929</v>
      </c>
      <c r="AJ318" s="872">
        <f t="shared" si="70"/>
        <v>110.25000000000026</v>
      </c>
      <c r="AK318" s="872">
        <f t="shared" si="72"/>
        <v>119.0000000000002</v>
      </c>
    </row>
    <row r="319" spans="1:37" ht="13.5" thickBot="1">
      <c r="A319" s="868"/>
      <c r="B319" s="868"/>
      <c r="C319" s="868"/>
      <c r="D319" s="873">
        <f t="shared" si="47"/>
        <v>0.87777777777777521</v>
      </c>
      <c r="E319" s="872">
        <f t="shared" si="75"/>
        <v>245.77777777777806</v>
      </c>
      <c r="F319" s="872">
        <f t="shared" si="75"/>
        <v>259.82222222222344</v>
      </c>
      <c r="G319" s="872">
        <f t="shared" si="75"/>
        <v>268.599999999999</v>
      </c>
      <c r="H319" s="872">
        <f t="shared" si="75"/>
        <v>228.22222222222194</v>
      </c>
      <c r="I319" s="872">
        <f t="shared" si="75"/>
        <v>242.26666666666682</v>
      </c>
      <c r="J319" s="872">
        <f t="shared" si="75"/>
        <v>251.04444444444519</v>
      </c>
      <c r="K319" s="872">
        <f t="shared" si="75"/>
        <v>210.66666666666708</v>
      </c>
      <c r="L319" s="872">
        <f t="shared" si="75"/>
        <v>224.71111111111122</v>
      </c>
      <c r="M319" s="872">
        <f t="shared" si="75"/>
        <v>233.48888888888928</v>
      </c>
      <c r="N319" s="872">
        <f t="shared" si="75"/>
        <v>158</v>
      </c>
      <c r="O319" s="872">
        <f t="shared" si="75"/>
        <v>172.04444444444414</v>
      </c>
      <c r="P319" s="872">
        <f t="shared" si="75"/>
        <v>180.82222222222219</v>
      </c>
      <c r="Q319" s="872">
        <f t="shared" si="75"/>
        <v>149.22222222222194</v>
      </c>
      <c r="R319" s="872">
        <f t="shared" si="75"/>
        <v>163.26666666666608</v>
      </c>
      <c r="S319" s="872">
        <f t="shared" si="75"/>
        <v>172.04444444444414</v>
      </c>
      <c r="T319" s="872">
        <f t="shared" si="75"/>
        <v>140.44444444444389</v>
      </c>
      <c r="U319" s="872">
        <f t="shared" si="76"/>
        <v>154.48888888888928</v>
      </c>
      <c r="V319" s="872">
        <f t="shared" si="77"/>
        <v>163.26666666666608</v>
      </c>
      <c r="W319" s="872">
        <f t="shared" si="78"/>
        <v>131.66666666666708</v>
      </c>
      <c r="X319" s="872">
        <f t="shared" si="79"/>
        <v>145.71111111111122</v>
      </c>
      <c r="Y319" s="872">
        <f t="shared" si="80"/>
        <v>154.48888888888928</v>
      </c>
      <c r="Z319" s="872">
        <f t="shared" si="81"/>
        <v>122.88888888888903</v>
      </c>
      <c r="AA319" s="872">
        <f t="shared" si="74"/>
        <v>136.93333333333317</v>
      </c>
      <c r="AB319" s="872">
        <f t="shared" si="74"/>
        <v>145.71111111111122</v>
      </c>
      <c r="AC319" s="872">
        <f t="shared" si="74"/>
        <v>114.11111111111097</v>
      </c>
      <c r="AD319" s="872">
        <f t="shared" si="74"/>
        <v>128.15555555555511</v>
      </c>
      <c r="AE319" s="872">
        <f t="shared" si="74"/>
        <v>136.93333333333317</v>
      </c>
      <c r="AF319" s="872">
        <f t="shared" si="74"/>
        <v>105.33333333333354</v>
      </c>
      <c r="AG319" s="872">
        <f t="shared" si="74"/>
        <v>119.37777777777798</v>
      </c>
      <c r="AH319" s="872">
        <f t="shared" si="74"/>
        <v>128.15555555555511</v>
      </c>
      <c r="AI319" s="872">
        <f t="shared" si="74"/>
        <v>96.555555555555486</v>
      </c>
      <c r="AJ319" s="872">
        <f t="shared" si="70"/>
        <v>110.60000000000025</v>
      </c>
      <c r="AK319" s="872">
        <f t="shared" si="72"/>
        <v>119.37777777777798</v>
      </c>
    </row>
    <row r="320" spans="1:37" ht="13.5" thickBot="1">
      <c r="A320" s="868"/>
      <c r="B320" s="868"/>
      <c r="C320" s="868"/>
      <c r="D320" s="873">
        <f t="shared" si="47"/>
        <v>0.88055555555555298</v>
      </c>
      <c r="E320" s="872">
        <f t="shared" si="75"/>
        <v>246.55555555555583</v>
      </c>
      <c r="F320" s="872">
        <f t="shared" si="75"/>
        <v>260.64444444444564</v>
      </c>
      <c r="G320" s="872">
        <f t="shared" si="75"/>
        <v>269.44999999999902</v>
      </c>
      <c r="H320" s="872">
        <f t="shared" si="75"/>
        <v>228.94444444444417</v>
      </c>
      <c r="I320" s="872">
        <f t="shared" si="75"/>
        <v>243.0333333333335</v>
      </c>
      <c r="J320" s="872">
        <f t="shared" si="75"/>
        <v>251.83888888888964</v>
      </c>
      <c r="K320" s="872">
        <f t="shared" si="75"/>
        <v>211.33333333333374</v>
      </c>
      <c r="L320" s="872">
        <f t="shared" si="75"/>
        <v>225.42222222222233</v>
      </c>
      <c r="M320" s="872">
        <f t="shared" si="75"/>
        <v>234.22777777777816</v>
      </c>
      <c r="N320" s="872">
        <f t="shared" si="75"/>
        <v>158.5</v>
      </c>
      <c r="O320" s="872">
        <f t="shared" si="75"/>
        <v>172.58888888888859</v>
      </c>
      <c r="P320" s="872">
        <f t="shared" si="75"/>
        <v>181.39444444444442</v>
      </c>
      <c r="Q320" s="872">
        <f t="shared" si="75"/>
        <v>149.69444444444417</v>
      </c>
      <c r="R320" s="872">
        <f t="shared" si="75"/>
        <v>163.78333333333276</v>
      </c>
      <c r="S320" s="872">
        <f t="shared" si="75"/>
        <v>172.58888888888859</v>
      </c>
      <c r="T320" s="872">
        <f t="shared" si="75"/>
        <v>140.88888888888835</v>
      </c>
      <c r="U320" s="872">
        <f t="shared" si="76"/>
        <v>154.97777777777816</v>
      </c>
      <c r="V320" s="872">
        <f t="shared" si="77"/>
        <v>163.78333333333276</v>
      </c>
      <c r="W320" s="872">
        <f t="shared" si="78"/>
        <v>132.08333333333374</v>
      </c>
      <c r="X320" s="872">
        <f t="shared" si="79"/>
        <v>146.17222222222233</v>
      </c>
      <c r="Y320" s="872">
        <f t="shared" si="80"/>
        <v>154.97777777777816</v>
      </c>
      <c r="Z320" s="872">
        <f t="shared" si="81"/>
        <v>123.27777777777791</v>
      </c>
      <c r="AA320" s="872">
        <f t="shared" si="74"/>
        <v>137.3666666666665</v>
      </c>
      <c r="AB320" s="872">
        <f t="shared" si="74"/>
        <v>146.17222222222233</v>
      </c>
      <c r="AC320" s="872">
        <f t="shared" si="74"/>
        <v>114.47222222222209</v>
      </c>
      <c r="AD320" s="872">
        <f t="shared" si="74"/>
        <v>128.56111111111068</v>
      </c>
      <c r="AE320" s="872">
        <f t="shared" si="74"/>
        <v>137.3666666666665</v>
      </c>
      <c r="AF320" s="872">
        <f t="shared" si="74"/>
        <v>105.66666666666687</v>
      </c>
      <c r="AG320" s="872">
        <f t="shared" si="74"/>
        <v>119.75555555555576</v>
      </c>
      <c r="AH320" s="872">
        <f t="shared" si="74"/>
        <v>128.56111111111068</v>
      </c>
      <c r="AI320" s="872">
        <f t="shared" si="74"/>
        <v>96.861111111111043</v>
      </c>
      <c r="AJ320" s="872">
        <f t="shared" si="70"/>
        <v>110.95000000000024</v>
      </c>
      <c r="AK320" s="872">
        <f t="shared" si="72"/>
        <v>119.75555555555576</v>
      </c>
    </row>
    <row r="321" spans="1:37" ht="13.5" thickBot="1">
      <c r="A321" s="868"/>
      <c r="B321" s="868"/>
      <c r="C321" s="868"/>
      <c r="D321" s="873">
        <f t="shared" si="47"/>
        <v>0.88333333333333075</v>
      </c>
      <c r="E321" s="872">
        <f t="shared" si="75"/>
        <v>247.3333333333336</v>
      </c>
      <c r="F321" s="872">
        <f t="shared" si="75"/>
        <v>261.46666666666783</v>
      </c>
      <c r="G321" s="872">
        <f t="shared" si="75"/>
        <v>270.29999999999905</v>
      </c>
      <c r="H321" s="872">
        <f t="shared" si="75"/>
        <v>229.6666666666664</v>
      </c>
      <c r="I321" s="872">
        <f t="shared" si="75"/>
        <v>243.80000000000018</v>
      </c>
      <c r="J321" s="872">
        <f t="shared" si="75"/>
        <v>252.63333333333409</v>
      </c>
      <c r="K321" s="872">
        <f t="shared" si="75"/>
        <v>212.0000000000004</v>
      </c>
      <c r="L321" s="872">
        <f t="shared" si="75"/>
        <v>226.13333333333344</v>
      </c>
      <c r="M321" s="872">
        <f t="shared" si="75"/>
        <v>234.96666666666704</v>
      </c>
      <c r="N321" s="872">
        <f t="shared" si="75"/>
        <v>159</v>
      </c>
      <c r="O321" s="872">
        <f t="shared" si="75"/>
        <v>173.13333333333304</v>
      </c>
      <c r="P321" s="872">
        <f t="shared" si="75"/>
        <v>181.96666666666664</v>
      </c>
      <c r="Q321" s="872">
        <f t="shared" si="75"/>
        <v>150.1666666666664</v>
      </c>
      <c r="R321" s="872">
        <f t="shared" si="75"/>
        <v>164.29999999999944</v>
      </c>
      <c r="S321" s="872">
        <f t="shared" si="75"/>
        <v>173.13333333333304</v>
      </c>
      <c r="T321" s="872">
        <f t="shared" si="75"/>
        <v>141.3333333333328</v>
      </c>
      <c r="U321" s="872">
        <f t="shared" si="76"/>
        <v>155.46666666666704</v>
      </c>
      <c r="V321" s="872">
        <f t="shared" si="77"/>
        <v>164.29999999999944</v>
      </c>
      <c r="W321" s="872">
        <f t="shared" si="78"/>
        <v>132.5000000000004</v>
      </c>
      <c r="X321" s="872">
        <f t="shared" si="79"/>
        <v>146.63333333333344</v>
      </c>
      <c r="Y321" s="872">
        <f t="shared" si="80"/>
        <v>155.46666666666704</v>
      </c>
      <c r="Z321" s="872">
        <f t="shared" si="81"/>
        <v>123.6666666666668</v>
      </c>
      <c r="AA321" s="872">
        <f t="shared" si="74"/>
        <v>137.79999999999984</v>
      </c>
      <c r="AB321" s="872">
        <f t="shared" si="74"/>
        <v>146.63333333333344</v>
      </c>
      <c r="AC321" s="872">
        <f t="shared" si="74"/>
        <v>114.8333333333332</v>
      </c>
      <c r="AD321" s="872">
        <f t="shared" si="74"/>
        <v>128.96666666666624</v>
      </c>
      <c r="AE321" s="872">
        <f t="shared" si="74"/>
        <v>137.79999999999984</v>
      </c>
      <c r="AF321" s="872">
        <f t="shared" si="74"/>
        <v>106.0000000000002</v>
      </c>
      <c r="AG321" s="872">
        <f t="shared" si="74"/>
        <v>120.13333333333354</v>
      </c>
      <c r="AH321" s="872">
        <f t="shared" si="74"/>
        <v>128.96666666666624</v>
      </c>
      <c r="AI321" s="872">
        <f t="shared" si="74"/>
        <v>97.1666666666666</v>
      </c>
      <c r="AJ321" s="872">
        <f t="shared" si="70"/>
        <v>111.30000000000024</v>
      </c>
      <c r="AK321" s="872">
        <f t="shared" si="72"/>
        <v>120.13333333333354</v>
      </c>
    </row>
    <row r="322" spans="1:37" ht="13.5" thickBot="1">
      <c r="A322" s="868"/>
      <c r="B322" s="868"/>
      <c r="C322" s="868"/>
      <c r="D322" s="873">
        <f t="shared" si="47"/>
        <v>0.88611111111110852</v>
      </c>
      <c r="E322" s="872">
        <f t="shared" si="75"/>
        <v>248.11111111111137</v>
      </c>
      <c r="F322" s="872">
        <f t="shared" si="75"/>
        <v>262.28888888889003</v>
      </c>
      <c r="G322" s="872">
        <f t="shared" si="75"/>
        <v>271.14999999999907</v>
      </c>
      <c r="H322" s="872">
        <f t="shared" si="75"/>
        <v>230.38888888888863</v>
      </c>
      <c r="I322" s="872">
        <f t="shared" si="75"/>
        <v>244.56666666666686</v>
      </c>
      <c r="J322" s="872">
        <f t="shared" si="75"/>
        <v>253.42777777777854</v>
      </c>
      <c r="K322" s="872">
        <f t="shared" si="75"/>
        <v>212.66666666666706</v>
      </c>
      <c r="L322" s="872">
        <f t="shared" si="75"/>
        <v>226.84444444444455</v>
      </c>
      <c r="M322" s="872">
        <f t="shared" si="75"/>
        <v>235.70555555555592</v>
      </c>
      <c r="N322" s="872">
        <f t="shared" si="75"/>
        <v>159.5</v>
      </c>
      <c r="O322" s="872">
        <f t="shared" si="75"/>
        <v>173.67777777777749</v>
      </c>
      <c r="P322" s="872">
        <f t="shared" si="75"/>
        <v>182.53888888888886</v>
      </c>
      <c r="Q322" s="872">
        <f t="shared" si="75"/>
        <v>150.63888888888863</v>
      </c>
      <c r="R322" s="872">
        <f t="shared" si="75"/>
        <v>164.81666666666612</v>
      </c>
      <c r="S322" s="872">
        <f t="shared" si="75"/>
        <v>173.67777777777749</v>
      </c>
      <c r="T322" s="872">
        <f t="shared" si="75"/>
        <v>141.77777777777726</v>
      </c>
      <c r="U322" s="872">
        <f t="shared" si="76"/>
        <v>155.95555555555592</v>
      </c>
      <c r="V322" s="872">
        <f t="shared" si="77"/>
        <v>164.81666666666612</v>
      </c>
      <c r="W322" s="872">
        <f t="shared" si="78"/>
        <v>132.91666666666706</v>
      </c>
      <c r="X322" s="872">
        <f t="shared" si="79"/>
        <v>147.09444444444455</v>
      </c>
      <c r="Y322" s="872">
        <f t="shared" si="80"/>
        <v>155.95555555555592</v>
      </c>
      <c r="Z322" s="872">
        <f t="shared" si="81"/>
        <v>124.05555555555569</v>
      </c>
      <c r="AA322" s="872">
        <f t="shared" si="74"/>
        <v>138.23333333333318</v>
      </c>
      <c r="AB322" s="872">
        <f t="shared" si="74"/>
        <v>147.09444444444455</v>
      </c>
      <c r="AC322" s="872">
        <f t="shared" si="74"/>
        <v>115.19444444444431</v>
      </c>
      <c r="AD322" s="872">
        <f t="shared" si="74"/>
        <v>129.37222222222181</v>
      </c>
      <c r="AE322" s="872">
        <f t="shared" si="74"/>
        <v>138.23333333333318</v>
      </c>
      <c r="AF322" s="872">
        <f t="shared" si="74"/>
        <v>106.33333333333353</v>
      </c>
      <c r="AG322" s="872">
        <f t="shared" si="74"/>
        <v>120.51111111111132</v>
      </c>
      <c r="AH322" s="872">
        <f t="shared" si="74"/>
        <v>129.37222222222181</v>
      </c>
      <c r="AI322" s="872">
        <f t="shared" si="74"/>
        <v>97.472222222222157</v>
      </c>
      <c r="AJ322" s="872">
        <f t="shared" si="70"/>
        <v>111.65000000000023</v>
      </c>
      <c r="AK322" s="872">
        <f t="shared" si="72"/>
        <v>120.51111111111132</v>
      </c>
    </row>
    <row r="323" spans="1:37" ht="13.5" thickBot="1">
      <c r="A323" s="868"/>
      <c r="B323" s="868"/>
      <c r="C323" s="868"/>
      <c r="D323" s="873">
        <f t="shared" si="47"/>
        <v>0.88888888888888629</v>
      </c>
      <c r="E323" s="872">
        <f t="shared" si="75"/>
        <v>248.88888888888914</v>
      </c>
      <c r="F323" s="872">
        <f t="shared" si="75"/>
        <v>263.11111111111222</v>
      </c>
      <c r="G323" s="872">
        <f t="shared" si="75"/>
        <v>271.99999999999909</v>
      </c>
      <c r="H323" s="872">
        <f t="shared" si="75"/>
        <v>231.11111111111086</v>
      </c>
      <c r="I323" s="872">
        <f t="shared" si="75"/>
        <v>245.33333333333354</v>
      </c>
      <c r="J323" s="872">
        <f t="shared" si="75"/>
        <v>254.222222222223</v>
      </c>
      <c r="K323" s="872">
        <f t="shared" si="75"/>
        <v>213.33333333333371</v>
      </c>
      <c r="L323" s="872">
        <f t="shared" si="75"/>
        <v>227.55555555555566</v>
      </c>
      <c r="M323" s="872">
        <f t="shared" si="75"/>
        <v>236.4444444444448</v>
      </c>
      <c r="N323" s="872">
        <f t="shared" si="75"/>
        <v>160</v>
      </c>
      <c r="O323" s="872">
        <f t="shared" si="75"/>
        <v>174.22222222222194</v>
      </c>
      <c r="P323" s="872">
        <f t="shared" si="75"/>
        <v>183.11111111111109</v>
      </c>
      <c r="Q323" s="872">
        <f t="shared" si="75"/>
        <v>151.11111111111086</v>
      </c>
      <c r="R323" s="872">
        <f t="shared" si="75"/>
        <v>165.3333333333328</v>
      </c>
      <c r="S323" s="872">
        <f t="shared" si="75"/>
        <v>174.22222222222194</v>
      </c>
      <c r="T323" s="872">
        <f t="shared" si="75"/>
        <v>142.22222222222172</v>
      </c>
      <c r="U323" s="872">
        <f t="shared" si="76"/>
        <v>156.4444444444448</v>
      </c>
      <c r="V323" s="872">
        <f t="shared" si="77"/>
        <v>165.3333333333328</v>
      </c>
      <c r="W323" s="872">
        <f t="shared" si="78"/>
        <v>133.33333333333371</v>
      </c>
      <c r="X323" s="872">
        <f t="shared" si="79"/>
        <v>147.55555555555566</v>
      </c>
      <c r="Y323" s="872">
        <f t="shared" si="80"/>
        <v>156.4444444444448</v>
      </c>
      <c r="Z323" s="872">
        <f t="shared" si="81"/>
        <v>124.44444444444457</v>
      </c>
      <c r="AA323" s="872">
        <f t="shared" si="74"/>
        <v>138.66666666666652</v>
      </c>
      <c r="AB323" s="872">
        <f t="shared" si="74"/>
        <v>147.55555555555566</v>
      </c>
      <c r="AC323" s="872">
        <f t="shared" si="74"/>
        <v>115.55555555555543</v>
      </c>
      <c r="AD323" s="872">
        <f t="shared" si="74"/>
        <v>129.77777777777737</v>
      </c>
      <c r="AE323" s="872">
        <f t="shared" si="74"/>
        <v>138.66666666666652</v>
      </c>
      <c r="AF323" s="872">
        <f t="shared" si="74"/>
        <v>106.66666666666686</v>
      </c>
      <c r="AG323" s="872">
        <f t="shared" si="74"/>
        <v>120.8888888888891</v>
      </c>
      <c r="AH323" s="872">
        <f t="shared" si="74"/>
        <v>129.77777777777737</v>
      </c>
      <c r="AI323" s="872">
        <f t="shared" si="74"/>
        <v>97.777777777777715</v>
      </c>
      <c r="AJ323" s="872">
        <f t="shared" si="70"/>
        <v>112.00000000000023</v>
      </c>
      <c r="AK323" s="872">
        <f t="shared" si="72"/>
        <v>120.8888888888891</v>
      </c>
    </row>
    <row r="324" spans="1:37" ht="13.5" thickBot="1">
      <c r="A324" s="868"/>
      <c r="B324" s="868"/>
      <c r="C324" s="868"/>
      <c r="D324" s="873">
        <f t="shared" si="47"/>
        <v>0.89166666666666405</v>
      </c>
      <c r="E324" s="872">
        <f t="shared" si="75"/>
        <v>249.66666666666691</v>
      </c>
      <c r="F324" s="872">
        <f t="shared" si="75"/>
        <v>263.93333333333442</v>
      </c>
      <c r="G324" s="872">
        <f t="shared" si="75"/>
        <v>272.84999999999911</v>
      </c>
      <c r="H324" s="872">
        <f t="shared" si="75"/>
        <v>231.83333333333309</v>
      </c>
      <c r="I324" s="872">
        <f t="shared" si="75"/>
        <v>246.10000000000022</v>
      </c>
      <c r="J324" s="872">
        <f t="shared" si="75"/>
        <v>255.01666666666745</v>
      </c>
      <c r="K324" s="872">
        <f t="shared" si="75"/>
        <v>214.00000000000037</v>
      </c>
      <c r="L324" s="872">
        <f t="shared" si="75"/>
        <v>228.26666666666677</v>
      </c>
      <c r="M324" s="872">
        <f t="shared" si="75"/>
        <v>237.18333333333368</v>
      </c>
      <c r="N324" s="872">
        <f t="shared" si="75"/>
        <v>160.5</v>
      </c>
      <c r="O324" s="872">
        <f t="shared" si="75"/>
        <v>174.7666666666664</v>
      </c>
      <c r="P324" s="872">
        <f t="shared" si="75"/>
        <v>183.68333333333331</v>
      </c>
      <c r="Q324" s="872">
        <f t="shared" si="75"/>
        <v>151.58333333333309</v>
      </c>
      <c r="R324" s="872">
        <f t="shared" si="75"/>
        <v>165.84999999999948</v>
      </c>
      <c r="S324" s="872">
        <f t="shared" si="75"/>
        <v>174.7666666666664</v>
      </c>
      <c r="T324" s="872">
        <f t="shared" si="75"/>
        <v>142.66666666666617</v>
      </c>
      <c r="U324" s="872">
        <f t="shared" si="76"/>
        <v>156.93333333333368</v>
      </c>
      <c r="V324" s="872">
        <f t="shared" si="77"/>
        <v>165.84999999999948</v>
      </c>
      <c r="W324" s="872">
        <f t="shared" si="78"/>
        <v>133.75000000000037</v>
      </c>
      <c r="X324" s="872">
        <f t="shared" si="79"/>
        <v>148.01666666666677</v>
      </c>
      <c r="Y324" s="872">
        <f t="shared" si="80"/>
        <v>156.93333333333368</v>
      </c>
      <c r="Z324" s="872">
        <f t="shared" si="81"/>
        <v>124.83333333333346</v>
      </c>
      <c r="AA324" s="872">
        <f t="shared" si="74"/>
        <v>139.09999999999985</v>
      </c>
      <c r="AB324" s="872">
        <f t="shared" si="74"/>
        <v>148.01666666666677</v>
      </c>
      <c r="AC324" s="872">
        <f t="shared" si="74"/>
        <v>115.91666666666654</v>
      </c>
      <c r="AD324" s="872">
        <f t="shared" si="74"/>
        <v>130.18333333333294</v>
      </c>
      <c r="AE324" s="872">
        <f t="shared" si="74"/>
        <v>139.09999999999985</v>
      </c>
      <c r="AF324" s="872">
        <f t="shared" si="74"/>
        <v>107.00000000000018</v>
      </c>
      <c r="AG324" s="872">
        <f t="shared" si="74"/>
        <v>121.26666666666688</v>
      </c>
      <c r="AH324" s="872">
        <f t="shared" si="74"/>
        <v>130.18333333333294</v>
      </c>
      <c r="AI324" s="872">
        <f t="shared" si="74"/>
        <v>98.083333333333272</v>
      </c>
      <c r="AJ324" s="872">
        <f t="shared" si="70"/>
        <v>112.35000000000022</v>
      </c>
      <c r="AK324" s="872">
        <f t="shared" si="72"/>
        <v>121.26666666666688</v>
      </c>
    </row>
    <row r="325" spans="1:37" ht="13.5" thickBot="1">
      <c r="A325" s="868"/>
      <c r="B325" s="868"/>
      <c r="C325" s="868"/>
      <c r="D325" s="873">
        <f t="shared" ref="D325:D363" si="82">D324+0.2/72</f>
        <v>0.89444444444444182</v>
      </c>
      <c r="E325" s="872">
        <f t="shared" si="75"/>
        <v>250.44444444444468</v>
      </c>
      <c r="F325" s="872">
        <f t="shared" si="75"/>
        <v>264.75555555555661</v>
      </c>
      <c r="G325" s="872">
        <f t="shared" si="75"/>
        <v>273.69999999999914</v>
      </c>
      <c r="H325" s="872">
        <f t="shared" si="75"/>
        <v>232.55555555555532</v>
      </c>
      <c r="I325" s="872">
        <f t="shared" si="75"/>
        <v>246.8666666666669</v>
      </c>
      <c r="J325" s="872">
        <f t="shared" si="75"/>
        <v>255.8111111111119</v>
      </c>
      <c r="K325" s="872">
        <f t="shared" si="75"/>
        <v>214.66666666666703</v>
      </c>
      <c r="L325" s="872">
        <f t="shared" si="75"/>
        <v>228.97777777777787</v>
      </c>
      <c r="M325" s="872">
        <f t="shared" si="75"/>
        <v>237.92222222222256</v>
      </c>
      <c r="N325" s="872">
        <f t="shared" si="75"/>
        <v>161</v>
      </c>
      <c r="O325" s="872">
        <f t="shared" si="75"/>
        <v>175.31111111111085</v>
      </c>
      <c r="P325" s="872">
        <f t="shared" si="75"/>
        <v>184.25555555555553</v>
      </c>
      <c r="Q325" s="872">
        <f t="shared" si="75"/>
        <v>152.05555555555532</v>
      </c>
      <c r="R325" s="872">
        <f t="shared" si="75"/>
        <v>166.36666666666616</v>
      </c>
      <c r="S325" s="872">
        <f t="shared" si="75"/>
        <v>175.31111111111085</v>
      </c>
      <c r="T325" s="872">
        <f t="shared" si="75"/>
        <v>143.11111111111063</v>
      </c>
      <c r="U325" s="872">
        <f t="shared" si="76"/>
        <v>157.42222222222256</v>
      </c>
      <c r="V325" s="872">
        <f t="shared" si="77"/>
        <v>166.36666666666616</v>
      </c>
      <c r="W325" s="872">
        <f t="shared" si="78"/>
        <v>134.16666666666703</v>
      </c>
      <c r="X325" s="872">
        <f t="shared" si="79"/>
        <v>148.47777777777787</v>
      </c>
      <c r="Y325" s="872">
        <f t="shared" si="80"/>
        <v>157.42222222222256</v>
      </c>
      <c r="Z325" s="872">
        <f t="shared" si="81"/>
        <v>125.22222222222234</v>
      </c>
      <c r="AA325" s="872">
        <f t="shared" si="74"/>
        <v>139.53333333333319</v>
      </c>
      <c r="AB325" s="872">
        <f t="shared" si="74"/>
        <v>148.47777777777787</v>
      </c>
      <c r="AC325" s="872">
        <f t="shared" si="74"/>
        <v>116.27777777777766</v>
      </c>
      <c r="AD325" s="872">
        <f t="shared" si="74"/>
        <v>130.5888888888885</v>
      </c>
      <c r="AE325" s="872">
        <f t="shared" si="74"/>
        <v>139.53333333333319</v>
      </c>
      <c r="AF325" s="872">
        <f t="shared" si="74"/>
        <v>107.33333333333351</v>
      </c>
      <c r="AG325" s="872">
        <f t="shared" si="74"/>
        <v>121.64444444444466</v>
      </c>
      <c r="AH325" s="872">
        <f t="shared" si="74"/>
        <v>130.5888888888885</v>
      </c>
      <c r="AI325" s="872">
        <f t="shared" si="74"/>
        <v>98.388888888888829</v>
      </c>
      <c r="AJ325" s="872">
        <f t="shared" si="70"/>
        <v>112.70000000000022</v>
      </c>
      <c r="AK325" s="872">
        <f t="shared" si="72"/>
        <v>121.64444444444466</v>
      </c>
    </row>
    <row r="326" spans="1:37" ht="13.5" thickBot="1">
      <c r="A326" s="868"/>
      <c r="B326" s="868"/>
      <c r="C326" s="868"/>
      <c r="D326" s="873">
        <f t="shared" si="82"/>
        <v>0.89722222222221959</v>
      </c>
      <c r="E326" s="872">
        <f t="shared" si="75"/>
        <v>251.22222222222246</v>
      </c>
      <c r="F326" s="872">
        <f t="shared" si="75"/>
        <v>265.57777777777881</v>
      </c>
      <c r="G326" s="872">
        <f t="shared" si="75"/>
        <v>274.54999999999916</v>
      </c>
      <c r="H326" s="872">
        <f t="shared" si="75"/>
        <v>233.27777777777754</v>
      </c>
      <c r="I326" s="872">
        <f t="shared" si="75"/>
        <v>247.63333333333358</v>
      </c>
      <c r="J326" s="872">
        <f t="shared" si="75"/>
        <v>256.60555555555635</v>
      </c>
      <c r="K326" s="872">
        <f t="shared" si="75"/>
        <v>215.33333333333368</v>
      </c>
      <c r="L326" s="872">
        <f t="shared" si="75"/>
        <v>229.68888888888898</v>
      </c>
      <c r="M326" s="872">
        <f t="shared" si="75"/>
        <v>238.66111111111144</v>
      </c>
      <c r="N326" s="872">
        <f t="shared" si="75"/>
        <v>161.5</v>
      </c>
      <c r="O326" s="872">
        <f t="shared" si="75"/>
        <v>175.8555555555553</v>
      </c>
      <c r="P326" s="872">
        <f t="shared" si="75"/>
        <v>184.82777777777775</v>
      </c>
      <c r="Q326" s="872">
        <f t="shared" si="75"/>
        <v>152.52777777777754</v>
      </c>
      <c r="R326" s="872">
        <f t="shared" si="75"/>
        <v>166.88333333333284</v>
      </c>
      <c r="S326" s="872">
        <f t="shared" si="75"/>
        <v>175.8555555555553</v>
      </c>
      <c r="T326" s="872">
        <f t="shared" si="75"/>
        <v>143.55555555555509</v>
      </c>
      <c r="U326" s="872">
        <f t="shared" si="76"/>
        <v>157.91111111111144</v>
      </c>
      <c r="V326" s="872">
        <f t="shared" si="77"/>
        <v>166.88333333333284</v>
      </c>
      <c r="W326" s="872">
        <f t="shared" si="78"/>
        <v>134.58333333333368</v>
      </c>
      <c r="X326" s="872">
        <f t="shared" si="79"/>
        <v>148.93888888888898</v>
      </c>
      <c r="Y326" s="872">
        <f t="shared" si="80"/>
        <v>157.91111111111144</v>
      </c>
      <c r="Z326" s="872">
        <f t="shared" si="81"/>
        <v>125.61111111111123</v>
      </c>
      <c r="AA326" s="872">
        <f t="shared" si="74"/>
        <v>139.96666666666653</v>
      </c>
      <c r="AB326" s="872">
        <f t="shared" si="74"/>
        <v>148.93888888888898</v>
      </c>
      <c r="AC326" s="872">
        <f t="shared" si="74"/>
        <v>116.63888888888877</v>
      </c>
      <c r="AD326" s="872">
        <f t="shared" si="74"/>
        <v>130.99444444444407</v>
      </c>
      <c r="AE326" s="872">
        <f t="shared" si="74"/>
        <v>139.96666666666653</v>
      </c>
      <c r="AF326" s="872">
        <f t="shared" si="74"/>
        <v>107.66666666666684</v>
      </c>
      <c r="AG326" s="872">
        <f t="shared" si="74"/>
        <v>122.02222222222244</v>
      </c>
      <c r="AH326" s="872">
        <f t="shared" si="74"/>
        <v>130.99444444444407</v>
      </c>
      <c r="AI326" s="872">
        <f t="shared" si="74"/>
        <v>98.694444444444386</v>
      </c>
      <c r="AJ326" s="872">
        <f t="shared" si="70"/>
        <v>113.05000000000021</v>
      </c>
      <c r="AK326" s="872">
        <f t="shared" si="72"/>
        <v>122.02222222222244</v>
      </c>
    </row>
    <row r="327" spans="1:37" ht="13.5" thickBot="1">
      <c r="A327" s="868"/>
      <c r="B327" s="868"/>
      <c r="C327" s="868"/>
      <c r="D327" s="873">
        <f t="shared" si="82"/>
        <v>0.89999999999999736</v>
      </c>
      <c r="E327" s="872">
        <f t="shared" si="75"/>
        <v>252.00000000000023</v>
      </c>
      <c r="F327" s="872">
        <f t="shared" si="75"/>
        <v>266.400000000001</v>
      </c>
      <c r="G327" s="872">
        <f t="shared" si="75"/>
        <v>275.39999999999918</v>
      </c>
      <c r="H327" s="872">
        <f t="shared" si="75"/>
        <v>233.99999999999977</v>
      </c>
      <c r="I327" s="872">
        <f t="shared" si="75"/>
        <v>248.40000000000026</v>
      </c>
      <c r="J327" s="872">
        <f t="shared" si="75"/>
        <v>257.40000000000077</v>
      </c>
      <c r="K327" s="872">
        <f t="shared" si="75"/>
        <v>216.00000000000034</v>
      </c>
      <c r="L327" s="872">
        <f t="shared" si="75"/>
        <v>230.40000000000009</v>
      </c>
      <c r="M327" s="872">
        <f t="shared" si="75"/>
        <v>239.40000000000032</v>
      </c>
      <c r="N327" s="872">
        <f t="shared" si="75"/>
        <v>162</v>
      </c>
      <c r="O327" s="872">
        <f t="shared" si="75"/>
        <v>176.39999999999975</v>
      </c>
      <c r="P327" s="872">
        <f t="shared" si="75"/>
        <v>185.39999999999998</v>
      </c>
      <c r="Q327" s="872">
        <f t="shared" si="75"/>
        <v>152.99999999999977</v>
      </c>
      <c r="R327" s="872">
        <f t="shared" si="75"/>
        <v>167.39999999999952</v>
      </c>
      <c r="S327" s="872">
        <f t="shared" si="75"/>
        <v>176.39999999999975</v>
      </c>
      <c r="T327" s="872">
        <f t="shared" si="75"/>
        <v>143.99999999999955</v>
      </c>
      <c r="U327" s="872">
        <f t="shared" si="76"/>
        <v>158.40000000000032</v>
      </c>
      <c r="V327" s="872">
        <f t="shared" si="77"/>
        <v>167.39999999999952</v>
      </c>
      <c r="W327" s="872">
        <f t="shared" si="78"/>
        <v>135.00000000000034</v>
      </c>
      <c r="X327" s="872">
        <f t="shared" si="79"/>
        <v>149.40000000000009</v>
      </c>
      <c r="Y327" s="872">
        <f t="shared" si="80"/>
        <v>158.40000000000032</v>
      </c>
      <c r="Z327" s="872">
        <f t="shared" si="81"/>
        <v>126.00000000000011</v>
      </c>
      <c r="AA327" s="872">
        <f t="shared" si="74"/>
        <v>140.39999999999986</v>
      </c>
      <c r="AB327" s="872">
        <f t="shared" si="74"/>
        <v>149.40000000000009</v>
      </c>
      <c r="AC327" s="872">
        <f t="shared" si="74"/>
        <v>116.99999999999989</v>
      </c>
      <c r="AD327" s="872">
        <f t="shared" si="74"/>
        <v>131.39999999999964</v>
      </c>
      <c r="AE327" s="872">
        <f t="shared" si="74"/>
        <v>140.39999999999986</v>
      </c>
      <c r="AF327" s="872">
        <f t="shared" si="74"/>
        <v>108.00000000000017</v>
      </c>
      <c r="AG327" s="872">
        <f t="shared" si="74"/>
        <v>122.40000000000022</v>
      </c>
      <c r="AH327" s="872">
        <f t="shared" si="74"/>
        <v>131.39999999999964</v>
      </c>
      <c r="AI327" s="872">
        <f t="shared" si="74"/>
        <v>98.999999999999943</v>
      </c>
      <c r="AJ327" s="872">
        <f t="shared" si="70"/>
        <v>113.4000000000002</v>
      </c>
      <c r="AK327" s="872">
        <f t="shared" si="72"/>
        <v>122.40000000000022</v>
      </c>
    </row>
    <row r="328" spans="1:37" ht="13.5" thickBot="1">
      <c r="A328" s="868"/>
      <c r="B328" s="868"/>
      <c r="C328" s="868"/>
      <c r="D328" s="873">
        <f t="shared" si="82"/>
        <v>0.90277777777777513</v>
      </c>
      <c r="E328" s="872">
        <f t="shared" si="75"/>
        <v>252.777777777778</v>
      </c>
      <c r="F328" s="872">
        <f t="shared" si="75"/>
        <v>267.22222222222319</v>
      </c>
      <c r="G328" s="872">
        <f t="shared" si="75"/>
        <v>276.2499999999992</v>
      </c>
      <c r="H328" s="872">
        <f t="shared" si="75"/>
        <v>234.722222222222</v>
      </c>
      <c r="I328" s="872">
        <f t="shared" si="75"/>
        <v>249.16666666666694</v>
      </c>
      <c r="J328" s="872">
        <f t="shared" si="75"/>
        <v>258.1944444444452</v>
      </c>
      <c r="K328" s="872">
        <f t="shared" si="75"/>
        <v>216.666666666667</v>
      </c>
      <c r="L328" s="872">
        <f t="shared" si="75"/>
        <v>231.1111111111112</v>
      </c>
      <c r="M328" s="872">
        <f t="shared" si="75"/>
        <v>240.1388888888892</v>
      </c>
      <c r="N328" s="872">
        <f t="shared" si="75"/>
        <v>162.5</v>
      </c>
      <c r="O328" s="872">
        <f t="shared" si="75"/>
        <v>176.9444444444442</v>
      </c>
      <c r="P328" s="872">
        <f t="shared" si="75"/>
        <v>185.9722222222222</v>
      </c>
      <c r="Q328" s="872">
        <f t="shared" si="75"/>
        <v>153.472222222222</v>
      </c>
      <c r="R328" s="872">
        <f t="shared" si="75"/>
        <v>167.9166666666662</v>
      </c>
      <c r="S328" s="872">
        <f t="shared" si="75"/>
        <v>176.9444444444442</v>
      </c>
      <c r="T328" s="872">
        <f t="shared" si="75"/>
        <v>144.444444444444</v>
      </c>
      <c r="U328" s="872">
        <f t="shared" si="76"/>
        <v>158.8888888888892</v>
      </c>
      <c r="V328" s="872">
        <f t="shared" si="77"/>
        <v>167.9166666666662</v>
      </c>
      <c r="W328" s="872">
        <f t="shared" si="78"/>
        <v>135.416666666667</v>
      </c>
      <c r="X328" s="872">
        <f t="shared" si="79"/>
        <v>149.8611111111112</v>
      </c>
      <c r="Y328" s="872">
        <f t="shared" si="80"/>
        <v>158.8888888888892</v>
      </c>
      <c r="Z328" s="872">
        <f t="shared" si="81"/>
        <v>126.388888888889</v>
      </c>
      <c r="AA328" s="872">
        <f t="shared" si="74"/>
        <v>140.8333333333332</v>
      </c>
      <c r="AB328" s="872">
        <f t="shared" si="74"/>
        <v>149.8611111111112</v>
      </c>
      <c r="AC328" s="872">
        <f t="shared" si="74"/>
        <v>117.361111111111</v>
      </c>
      <c r="AD328" s="872">
        <f t="shared" si="74"/>
        <v>131.8055555555552</v>
      </c>
      <c r="AE328" s="872">
        <f t="shared" si="74"/>
        <v>140.8333333333332</v>
      </c>
      <c r="AF328" s="872">
        <f t="shared" si="74"/>
        <v>108.3333333333335</v>
      </c>
      <c r="AG328" s="872">
        <f t="shared" si="74"/>
        <v>122.777777777778</v>
      </c>
      <c r="AH328" s="872">
        <f t="shared" si="74"/>
        <v>131.8055555555552</v>
      </c>
      <c r="AI328" s="872">
        <f t="shared" si="74"/>
        <v>99.3055555555555</v>
      </c>
      <c r="AJ328" s="872">
        <f t="shared" si="70"/>
        <v>113.7500000000002</v>
      </c>
      <c r="AK328" s="872">
        <f t="shared" si="72"/>
        <v>122.777777777778</v>
      </c>
    </row>
    <row r="329" spans="1:37" ht="13.5" thickBot="1">
      <c r="A329" s="868"/>
      <c r="B329" s="868"/>
      <c r="C329" s="868"/>
      <c r="D329" s="873">
        <f t="shared" si="82"/>
        <v>0.90555555555555289</v>
      </c>
      <c r="E329" s="872">
        <f t="shared" si="75"/>
        <v>253.55555555555577</v>
      </c>
      <c r="F329" s="872">
        <f t="shared" si="75"/>
        <v>268.04444444444539</v>
      </c>
      <c r="G329" s="872">
        <f t="shared" si="75"/>
        <v>277.09999999999923</v>
      </c>
      <c r="H329" s="872">
        <f t="shared" si="75"/>
        <v>235.44444444444423</v>
      </c>
      <c r="I329" s="872">
        <f t="shared" si="75"/>
        <v>249.93333333333362</v>
      </c>
      <c r="J329" s="872">
        <f t="shared" si="75"/>
        <v>258.98888888888962</v>
      </c>
      <c r="K329" s="872">
        <f t="shared" si="75"/>
        <v>217.33333333333366</v>
      </c>
      <c r="L329" s="872">
        <f t="shared" si="75"/>
        <v>231.82222222222231</v>
      </c>
      <c r="M329" s="872">
        <f t="shared" si="75"/>
        <v>240.87777777777808</v>
      </c>
      <c r="N329" s="872">
        <f t="shared" si="75"/>
        <v>163</v>
      </c>
      <c r="O329" s="872">
        <f t="shared" si="75"/>
        <v>177.48888888888865</v>
      </c>
      <c r="P329" s="872">
        <f t="shared" si="75"/>
        <v>186.54444444444442</v>
      </c>
      <c r="Q329" s="872">
        <f t="shared" si="75"/>
        <v>153.94444444444423</v>
      </c>
      <c r="R329" s="872">
        <f t="shared" si="75"/>
        <v>168.43333333333288</v>
      </c>
      <c r="S329" s="872">
        <f t="shared" si="75"/>
        <v>177.48888888888865</v>
      </c>
      <c r="T329" s="872">
        <f t="shared" si="75"/>
        <v>144.88888888888846</v>
      </c>
      <c r="U329" s="872">
        <f t="shared" si="76"/>
        <v>159.37777777777808</v>
      </c>
      <c r="V329" s="872">
        <f t="shared" si="77"/>
        <v>168.43333333333288</v>
      </c>
      <c r="W329" s="872">
        <f t="shared" si="78"/>
        <v>135.83333333333366</v>
      </c>
      <c r="X329" s="872">
        <f t="shared" si="79"/>
        <v>150.32222222222231</v>
      </c>
      <c r="Y329" s="872">
        <f t="shared" si="80"/>
        <v>159.37777777777808</v>
      </c>
      <c r="Z329" s="872">
        <f t="shared" si="81"/>
        <v>126.77777777777789</v>
      </c>
      <c r="AA329" s="872">
        <f t="shared" si="74"/>
        <v>141.26666666666654</v>
      </c>
      <c r="AB329" s="872">
        <f t="shared" si="74"/>
        <v>150.32222222222231</v>
      </c>
      <c r="AC329" s="872">
        <f t="shared" si="74"/>
        <v>117.72222222222211</v>
      </c>
      <c r="AD329" s="872">
        <f t="shared" si="74"/>
        <v>132.21111111111077</v>
      </c>
      <c r="AE329" s="872">
        <f t="shared" si="74"/>
        <v>141.26666666666654</v>
      </c>
      <c r="AF329" s="872">
        <f t="shared" si="74"/>
        <v>108.66666666666683</v>
      </c>
      <c r="AG329" s="872">
        <f t="shared" si="74"/>
        <v>123.15555555555578</v>
      </c>
      <c r="AH329" s="872">
        <f t="shared" si="74"/>
        <v>132.21111111111077</v>
      </c>
      <c r="AI329" s="872">
        <f t="shared" si="74"/>
        <v>99.611111111111057</v>
      </c>
      <c r="AJ329" s="872">
        <f t="shared" si="70"/>
        <v>114.10000000000019</v>
      </c>
      <c r="AK329" s="872">
        <f t="shared" si="72"/>
        <v>123.15555555555578</v>
      </c>
    </row>
    <row r="330" spans="1:37" ht="13.5" thickBot="1">
      <c r="A330" s="868"/>
      <c r="B330" s="868"/>
      <c r="C330" s="868"/>
      <c r="D330" s="873">
        <f t="shared" si="82"/>
        <v>0.90833333333333066</v>
      </c>
      <c r="E330" s="872">
        <f t="shared" si="75"/>
        <v>254.33333333333354</v>
      </c>
      <c r="F330" s="872">
        <f t="shared" si="75"/>
        <v>268.86666666666758</v>
      </c>
      <c r="G330" s="872">
        <f t="shared" si="75"/>
        <v>277.94999999999925</v>
      </c>
      <c r="H330" s="872">
        <f t="shared" si="75"/>
        <v>236.16666666666646</v>
      </c>
      <c r="I330" s="872">
        <f t="shared" si="75"/>
        <v>250.7000000000003</v>
      </c>
      <c r="J330" s="872">
        <f t="shared" si="75"/>
        <v>259.78333333333404</v>
      </c>
      <c r="K330" s="872">
        <f t="shared" si="75"/>
        <v>218.00000000000031</v>
      </c>
      <c r="L330" s="872">
        <f t="shared" si="75"/>
        <v>232.53333333333342</v>
      </c>
      <c r="M330" s="872">
        <f t="shared" si="75"/>
        <v>241.61666666666696</v>
      </c>
      <c r="N330" s="872">
        <f t="shared" si="75"/>
        <v>163.5</v>
      </c>
      <c r="O330" s="872">
        <f t="shared" si="75"/>
        <v>178.0333333333331</v>
      </c>
      <c r="P330" s="872">
        <f t="shared" si="75"/>
        <v>187.11666666666665</v>
      </c>
      <c r="Q330" s="872">
        <f t="shared" si="75"/>
        <v>154.41666666666646</v>
      </c>
      <c r="R330" s="872">
        <f t="shared" si="75"/>
        <v>168.94999999999956</v>
      </c>
      <c r="S330" s="872">
        <f t="shared" si="75"/>
        <v>178.0333333333331</v>
      </c>
      <c r="T330" s="872">
        <f>T331-(T$363/360)</f>
        <v>145.33333333333292</v>
      </c>
      <c r="U330" s="872">
        <f t="shared" si="76"/>
        <v>159.86666666666696</v>
      </c>
      <c r="V330" s="872">
        <f t="shared" si="77"/>
        <v>168.94999999999956</v>
      </c>
      <c r="W330" s="872">
        <f t="shared" si="78"/>
        <v>136.25000000000031</v>
      </c>
      <c r="X330" s="872">
        <f t="shared" si="79"/>
        <v>150.78333333333342</v>
      </c>
      <c r="Y330" s="872">
        <f t="shared" si="80"/>
        <v>159.86666666666696</v>
      </c>
      <c r="Z330" s="872">
        <f t="shared" si="81"/>
        <v>127.16666666666677</v>
      </c>
      <c r="AA330" s="872">
        <f t="shared" ref="AA330:AI330" si="83">AA331-(AA$363/360)</f>
        <v>141.69999999999987</v>
      </c>
      <c r="AB330" s="872">
        <f t="shared" si="83"/>
        <v>150.78333333333342</v>
      </c>
      <c r="AC330" s="872">
        <f t="shared" si="83"/>
        <v>118.08333333333323</v>
      </c>
      <c r="AD330" s="872">
        <f t="shared" si="83"/>
        <v>132.61666666666633</v>
      </c>
      <c r="AE330" s="872">
        <f t="shared" si="83"/>
        <v>141.69999999999987</v>
      </c>
      <c r="AF330" s="872">
        <f t="shared" si="83"/>
        <v>109.00000000000016</v>
      </c>
      <c r="AG330" s="872">
        <f t="shared" si="83"/>
        <v>123.53333333333356</v>
      </c>
      <c r="AH330" s="872">
        <f t="shared" si="83"/>
        <v>132.61666666666633</v>
      </c>
      <c r="AI330" s="872">
        <f t="shared" si="83"/>
        <v>99.916666666666615</v>
      </c>
      <c r="AJ330" s="872">
        <f t="shared" si="70"/>
        <v>114.45000000000019</v>
      </c>
      <c r="AK330" s="872">
        <f t="shared" si="72"/>
        <v>123.53333333333356</v>
      </c>
    </row>
    <row r="331" spans="1:37" ht="13.5" thickBot="1">
      <c r="A331" s="868"/>
      <c r="B331" s="868"/>
      <c r="C331" s="868"/>
      <c r="D331" s="873">
        <f t="shared" si="82"/>
        <v>0.91111111111110843</v>
      </c>
      <c r="E331" s="872">
        <f t="shared" ref="E331:T346" si="84">E332-(E$363/360)</f>
        <v>255.11111111111131</v>
      </c>
      <c r="F331" s="872">
        <f t="shared" si="84"/>
        <v>269.68888888888978</v>
      </c>
      <c r="G331" s="872">
        <f t="shared" si="84"/>
        <v>278.79999999999927</v>
      </c>
      <c r="H331" s="872">
        <f t="shared" si="84"/>
        <v>236.88888888888869</v>
      </c>
      <c r="I331" s="872">
        <f t="shared" si="84"/>
        <v>251.46666666666698</v>
      </c>
      <c r="J331" s="872">
        <f t="shared" si="84"/>
        <v>260.57777777777846</v>
      </c>
      <c r="K331" s="872">
        <f t="shared" si="84"/>
        <v>218.66666666666697</v>
      </c>
      <c r="L331" s="872">
        <f t="shared" si="84"/>
        <v>233.24444444444453</v>
      </c>
      <c r="M331" s="872">
        <f t="shared" si="84"/>
        <v>242.35555555555584</v>
      </c>
      <c r="N331" s="872">
        <f t="shared" si="84"/>
        <v>164</v>
      </c>
      <c r="O331" s="872">
        <f t="shared" si="84"/>
        <v>178.57777777777756</v>
      </c>
      <c r="P331" s="872">
        <f t="shared" si="84"/>
        <v>187.68888888888887</v>
      </c>
      <c r="Q331" s="872">
        <f t="shared" si="84"/>
        <v>154.88888888888869</v>
      </c>
      <c r="R331" s="872">
        <f t="shared" si="84"/>
        <v>169.46666666666624</v>
      </c>
      <c r="S331" s="872">
        <f t="shared" si="84"/>
        <v>178.57777777777756</v>
      </c>
      <c r="T331" s="872">
        <f t="shared" si="84"/>
        <v>145.77777777777737</v>
      </c>
      <c r="U331" s="872">
        <f t="shared" ref="U331:AJ347" si="85">U332-(U$363/360)</f>
        <v>160.35555555555584</v>
      </c>
      <c r="V331" s="872">
        <f t="shared" si="85"/>
        <v>169.46666666666624</v>
      </c>
      <c r="W331" s="872">
        <f t="shared" si="85"/>
        <v>136.66666666666697</v>
      </c>
      <c r="X331" s="872">
        <f t="shared" si="85"/>
        <v>151.24444444444453</v>
      </c>
      <c r="Y331" s="872">
        <f t="shared" si="85"/>
        <v>160.35555555555584</v>
      </c>
      <c r="Z331" s="872">
        <f t="shared" si="85"/>
        <v>127.55555555555566</v>
      </c>
      <c r="AA331" s="872">
        <f t="shared" si="85"/>
        <v>142.13333333333321</v>
      </c>
      <c r="AB331" s="872">
        <f t="shared" si="85"/>
        <v>151.24444444444453</v>
      </c>
      <c r="AC331" s="872">
        <f t="shared" si="85"/>
        <v>118.44444444444434</v>
      </c>
      <c r="AD331" s="872">
        <f t="shared" si="85"/>
        <v>133.0222222222219</v>
      </c>
      <c r="AE331" s="872">
        <f t="shared" si="85"/>
        <v>142.13333333333321</v>
      </c>
      <c r="AF331" s="872">
        <f t="shared" si="85"/>
        <v>109.33333333333348</v>
      </c>
      <c r="AG331" s="872">
        <f t="shared" si="85"/>
        <v>123.91111111111134</v>
      </c>
      <c r="AH331" s="872">
        <f t="shared" si="85"/>
        <v>133.0222222222219</v>
      </c>
      <c r="AI331" s="872">
        <f t="shared" si="85"/>
        <v>100.22222222222217</v>
      </c>
      <c r="AJ331" s="872">
        <f t="shared" si="70"/>
        <v>114.80000000000018</v>
      </c>
      <c r="AK331" s="872">
        <f t="shared" si="72"/>
        <v>123.91111111111134</v>
      </c>
    </row>
    <row r="332" spans="1:37" ht="13.5" thickBot="1">
      <c r="A332" s="868"/>
      <c r="B332" s="868"/>
      <c r="C332" s="868"/>
      <c r="D332" s="873">
        <f t="shared" si="82"/>
        <v>0.9138888888888862</v>
      </c>
      <c r="E332" s="872">
        <f t="shared" si="84"/>
        <v>255.88888888888908</v>
      </c>
      <c r="F332" s="872">
        <f t="shared" si="84"/>
        <v>270.51111111111197</v>
      </c>
      <c r="G332" s="872">
        <f t="shared" si="84"/>
        <v>279.6499999999993</v>
      </c>
      <c r="H332" s="872">
        <f t="shared" si="84"/>
        <v>237.61111111111092</v>
      </c>
      <c r="I332" s="872">
        <f t="shared" si="84"/>
        <v>252.23333333333366</v>
      </c>
      <c r="J332" s="872">
        <f t="shared" si="84"/>
        <v>261.37222222222289</v>
      </c>
      <c r="K332" s="872">
        <f t="shared" si="84"/>
        <v>219.33333333333363</v>
      </c>
      <c r="L332" s="872">
        <f t="shared" si="84"/>
        <v>233.95555555555563</v>
      </c>
      <c r="M332" s="872">
        <f t="shared" si="84"/>
        <v>243.09444444444472</v>
      </c>
      <c r="N332" s="872">
        <f t="shared" si="84"/>
        <v>164.5</v>
      </c>
      <c r="O332" s="872">
        <f t="shared" si="84"/>
        <v>179.12222222222201</v>
      </c>
      <c r="P332" s="872">
        <f t="shared" si="84"/>
        <v>188.26111111111109</v>
      </c>
      <c r="Q332" s="872">
        <f t="shared" si="84"/>
        <v>155.36111111111092</v>
      </c>
      <c r="R332" s="872">
        <f t="shared" si="84"/>
        <v>169.98333333333292</v>
      </c>
      <c r="S332" s="872">
        <f t="shared" si="84"/>
        <v>179.12222222222201</v>
      </c>
      <c r="T332" s="872">
        <f t="shared" si="84"/>
        <v>146.22222222222183</v>
      </c>
      <c r="U332" s="872">
        <f t="shared" si="85"/>
        <v>160.84444444444472</v>
      </c>
      <c r="V332" s="872">
        <f t="shared" si="85"/>
        <v>169.98333333333292</v>
      </c>
      <c r="W332" s="872">
        <f t="shared" si="85"/>
        <v>137.08333333333363</v>
      </c>
      <c r="X332" s="872">
        <f t="shared" si="85"/>
        <v>151.70555555555563</v>
      </c>
      <c r="Y332" s="872">
        <f t="shared" si="85"/>
        <v>160.84444444444472</v>
      </c>
      <c r="Z332" s="872">
        <f t="shared" si="85"/>
        <v>127.94444444444454</v>
      </c>
      <c r="AA332" s="872">
        <f t="shared" si="85"/>
        <v>142.56666666666655</v>
      </c>
      <c r="AB332" s="872">
        <f t="shared" si="85"/>
        <v>151.70555555555563</v>
      </c>
      <c r="AC332" s="872">
        <f t="shared" si="85"/>
        <v>118.80555555555546</v>
      </c>
      <c r="AD332" s="872">
        <f t="shared" si="85"/>
        <v>133.42777777777746</v>
      </c>
      <c r="AE332" s="872">
        <f t="shared" si="85"/>
        <v>142.56666666666655</v>
      </c>
      <c r="AF332" s="872">
        <f t="shared" si="85"/>
        <v>109.66666666666681</v>
      </c>
      <c r="AG332" s="872">
        <f t="shared" si="85"/>
        <v>124.28888888888912</v>
      </c>
      <c r="AH332" s="872">
        <f t="shared" si="85"/>
        <v>133.42777777777746</v>
      </c>
      <c r="AI332" s="872">
        <f t="shared" si="85"/>
        <v>100.52777777777773</v>
      </c>
      <c r="AJ332" s="872">
        <f t="shared" si="70"/>
        <v>115.15000000000018</v>
      </c>
      <c r="AK332" s="872">
        <f t="shared" si="72"/>
        <v>124.28888888888912</v>
      </c>
    </row>
    <row r="333" spans="1:37" ht="13.5" thickBot="1">
      <c r="A333" s="868"/>
      <c r="B333" s="868"/>
      <c r="C333" s="868"/>
      <c r="D333" s="873">
        <f t="shared" si="82"/>
        <v>0.91666666666666397</v>
      </c>
      <c r="E333" s="872">
        <f t="shared" si="84"/>
        <v>256.66666666666686</v>
      </c>
      <c r="F333" s="872">
        <f t="shared" si="84"/>
        <v>271.33333333333417</v>
      </c>
      <c r="G333" s="872">
        <f t="shared" si="84"/>
        <v>280.49999999999932</v>
      </c>
      <c r="H333" s="872">
        <f t="shared" si="84"/>
        <v>238.33333333333314</v>
      </c>
      <c r="I333" s="872">
        <f t="shared" si="84"/>
        <v>253.00000000000034</v>
      </c>
      <c r="J333" s="872">
        <f t="shared" si="84"/>
        <v>262.16666666666731</v>
      </c>
      <c r="K333" s="872">
        <f t="shared" si="84"/>
        <v>220.00000000000028</v>
      </c>
      <c r="L333" s="872">
        <f t="shared" si="84"/>
        <v>234.66666666666674</v>
      </c>
      <c r="M333" s="872">
        <f t="shared" si="84"/>
        <v>243.8333333333336</v>
      </c>
      <c r="N333" s="872">
        <f t="shared" si="84"/>
        <v>165</v>
      </c>
      <c r="O333" s="872">
        <f t="shared" si="84"/>
        <v>179.66666666666646</v>
      </c>
      <c r="P333" s="872">
        <f t="shared" si="84"/>
        <v>188.83333333333331</v>
      </c>
      <c r="Q333" s="872">
        <f t="shared" si="84"/>
        <v>155.83333333333314</v>
      </c>
      <c r="R333" s="872">
        <f t="shared" si="84"/>
        <v>170.4999999999996</v>
      </c>
      <c r="S333" s="872">
        <f t="shared" si="84"/>
        <v>179.66666666666646</v>
      </c>
      <c r="T333" s="872">
        <f t="shared" si="84"/>
        <v>146.66666666666629</v>
      </c>
      <c r="U333" s="872">
        <f t="shared" si="85"/>
        <v>161.3333333333336</v>
      </c>
      <c r="V333" s="872">
        <f t="shared" si="85"/>
        <v>170.4999999999996</v>
      </c>
      <c r="W333" s="872">
        <f t="shared" si="85"/>
        <v>137.50000000000028</v>
      </c>
      <c r="X333" s="872">
        <f t="shared" si="85"/>
        <v>152.16666666666674</v>
      </c>
      <c r="Y333" s="872">
        <f t="shared" si="85"/>
        <v>161.3333333333336</v>
      </c>
      <c r="Z333" s="872">
        <f t="shared" si="85"/>
        <v>128.33333333333343</v>
      </c>
      <c r="AA333" s="872">
        <f t="shared" si="85"/>
        <v>142.99999999999989</v>
      </c>
      <c r="AB333" s="872">
        <f t="shared" si="85"/>
        <v>152.16666666666674</v>
      </c>
      <c r="AC333" s="872">
        <f t="shared" si="85"/>
        <v>119.16666666666657</v>
      </c>
      <c r="AD333" s="872">
        <f t="shared" si="85"/>
        <v>133.83333333333303</v>
      </c>
      <c r="AE333" s="872">
        <f t="shared" si="85"/>
        <v>142.99999999999989</v>
      </c>
      <c r="AF333" s="872">
        <f t="shared" si="85"/>
        <v>110.00000000000014</v>
      </c>
      <c r="AG333" s="872">
        <f t="shared" si="85"/>
        <v>124.6666666666669</v>
      </c>
      <c r="AH333" s="872">
        <f t="shared" si="85"/>
        <v>133.83333333333303</v>
      </c>
      <c r="AI333" s="872">
        <f t="shared" si="85"/>
        <v>100.83333333333329</v>
      </c>
      <c r="AJ333" s="872">
        <f t="shared" si="70"/>
        <v>115.50000000000017</v>
      </c>
      <c r="AK333" s="872">
        <f t="shared" si="72"/>
        <v>124.6666666666669</v>
      </c>
    </row>
    <row r="334" spans="1:37" ht="13.5" thickBot="1">
      <c r="A334" s="868"/>
      <c r="B334" s="868"/>
      <c r="C334" s="868"/>
      <c r="D334" s="873">
        <f t="shared" si="82"/>
        <v>0.91944444444444173</v>
      </c>
      <c r="E334" s="872">
        <f t="shared" si="84"/>
        <v>257.44444444444463</v>
      </c>
      <c r="F334" s="872">
        <f t="shared" si="84"/>
        <v>272.15555555555636</v>
      </c>
      <c r="G334" s="872">
        <f t="shared" si="84"/>
        <v>281.34999999999934</v>
      </c>
      <c r="H334" s="872">
        <f t="shared" si="84"/>
        <v>239.05555555555537</v>
      </c>
      <c r="I334" s="872">
        <f t="shared" si="84"/>
        <v>253.76666666666702</v>
      </c>
      <c r="J334" s="872">
        <f t="shared" si="84"/>
        <v>262.96111111111173</v>
      </c>
      <c r="K334" s="872">
        <f t="shared" si="84"/>
        <v>220.66666666666694</v>
      </c>
      <c r="L334" s="872">
        <f t="shared" si="84"/>
        <v>235.37777777777785</v>
      </c>
      <c r="M334" s="872">
        <f t="shared" si="84"/>
        <v>244.57222222222248</v>
      </c>
      <c r="N334" s="872">
        <f t="shared" si="84"/>
        <v>165.5</v>
      </c>
      <c r="O334" s="872">
        <f t="shared" si="84"/>
        <v>180.21111111111091</v>
      </c>
      <c r="P334" s="872">
        <f t="shared" si="84"/>
        <v>189.40555555555554</v>
      </c>
      <c r="Q334" s="872">
        <f t="shared" si="84"/>
        <v>156.30555555555537</v>
      </c>
      <c r="R334" s="872">
        <f t="shared" si="84"/>
        <v>171.01666666666628</v>
      </c>
      <c r="S334" s="872">
        <f t="shared" si="84"/>
        <v>180.21111111111091</v>
      </c>
      <c r="T334" s="872">
        <f t="shared" si="84"/>
        <v>147.11111111111074</v>
      </c>
      <c r="U334" s="872">
        <f t="shared" si="85"/>
        <v>161.82222222222248</v>
      </c>
      <c r="V334" s="872">
        <f t="shared" si="85"/>
        <v>171.01666666666628</v>
      </c>
      <c r="W334" s="872">
        <f t="shared" si="85"/>
        <v>137.91666666666694</v>
      </c>
      <c r="X334" s="872">
        <f t="shared" si="85"/>
        <v>152.62777777777785</v>
      </c>
      <c r="Y334" s="872">
        <f t="shared" si="85"/>
        <v>161.82222222222248</v>
      </c>
      <c r="Z334" s="872">
        <f t="shared" si="85"/>
        <v>128.72222222222231</v>
      </c>
      <c r="AA334" s="872">
        <f t="shared" si="85"/>
        <v>143.43333333333322</v>
      </c>
      <c r="AB334" s="872">
        <f t="shared" si="85"/>
        <v>152.62777777777785</v>
      </c>
      <c r="AC334" s="872">
        <f t="shared" si="85"/>
        <v>119.52777777777769</v>
      </c>
      <c r="AD334" s="872">
        <f t="shared" si="85"/>
        <v>134.2388888888886</v>
      </c>
      <c r="AE334" s="872">
        <f t="shared" si="85"/>
        <v>143.43333333333322</v>
      </c>
      <c r="AF334" s="872">
        <f t="shared" si="85"/>
        <v>110.33333333333347</v>
      </c>
      <c r="AG334" s="872">
        <f t="shared" si="85"/>
        <v>125.04444444444468</v>
      </c>
      <c r="AH334" s="872">
        <f t="shared" si="85"/>
        <v>134.2388888888886</v>
      </c>
      <c r="AI334" s="872">
        <f t="shared" si="85"/>
        <v>101.13888888888884</v>
      </c>
      <c r="AJ334" s="872">
        <f t="shared" si="70"/>
        <v>115.85000000000016</v>
      </c>
      <c r="AK334" s="872">
        <f t="shared" si="72"/>
        <v>125.04444444444468</v>
      </c>
    </row>
    <row r="335" spans="1:37" ht="13.5" thickBot="1">
      <c r="A335" s="868"/>
      <c r="B335" s="868"/>
      <c r="C335" s="868"/>
      <c r="D335" s="873">
        <f t="shared" si="82"/>
        <v>0.9222222222222195</v>
      </c>
      <c r="E335" s="872">
        <f t="shared" si="84"/>
        <v>258.2222222222224</v>
      </c>
      <c r="F335" s="872">
        <f t="shared" si="84"/>
        <v>272.97777777777856</v>
      </c>
      <c r="G335" s="872">
        <f t="shared" si="84"/>
        <v>282.19999999999936</v>
      </c>
      <c r="H335" s="872">
        <f t="shared" si="84"/>
        <v>239.7777777777776</v>
      </c>
      <c r="I335" s="872">
        <f t="shared" si="84"/>
        <v>254.5333333333337</v>
      </c>
      <c r="J335" s="872">
        <f t="shared" si="84"/>
        <v>263.75555555555616</v>
      </c>
      <c r="K335" s="872">
        <f t="shared" si="84"/>
        <v>221.3333333333336</v>
      </c>
      <c r="L335" s="872">
        <f t="shared" si="84"/>
        <v>236.08888888888896</v>
      </c>
      <c r="M335" s="872">
        <f t="shared" si="84"/>
        <v>245.31111111111136</v>
      </c>
      <c r="N335" s="872">
        <f t="shared" si="84"/>
        <v>166</v>
      </c>
      <c r="O335" s="872">
        <f t="shared" si="84"/>
        <v>180.75555555555536</v>
      </c>
      <c r="P335" s="872">
        <f t="shared" si="84"/>
        <v>189.97777777777776</v>
      </c>
      <c r="Q335" s="872">
        <f t="shared" si="84"/>
        <v>156.7777777777776</v>
      </c>
      <c r="R335" s="872">
        <f t="shared" si="84"/>
        <v>171.53333333333296</v>
      </c>
      <c r="S335" s="872">
        <f t="shared" si="84"/>
        <v>180.75555555555536</v>
      </c>
      <c r="T335" s="872">
        <f t="shared" si="84"/>
        <v>147.5555555555552</v>
      </c>
      <c r="U335" s="872">
        <f t="shared" si="85"/>
        <v>162.31111111111136</v>
      </c>
      <c r="V335" s="872">
        <f t="shared" si="85"/>
        <v>171.53333333333296</v>
      </c>
      <c r="W335" s="872">
        <f t="shared" si="85"/>
        <v>138.3333333333336</v>
      </c>
      <c r="X335" s="872">
        <f t="shared" si="85"/>
        <v>153.08888888888896</v>
      </c>
      <c r="Y335" s="872">
        <f t="shared" si="85"/>
        <v>162.31111111111136</v>
      </c>
      <c r="Z335" s="872">
        <f t="shared" si="85"/>
        <v>129.1111111111112</v>
      </c>
      <c r="AA335" s="872">
        <f t="shared" si="85"/>
        <v>143.86666666666656</v>
      </c>
      <c r="AB335" s="872">
        <f t="shared" si="85"/>
        <v>153.08888888888896</v>
      </c>
      <c r="AC335" s="872">
        <f t="shared" si="85"/>
        <v>119.8888888888888</v>
      </c>
      <c r="AD335" s="872">
        <f t="shared" si="85"/>
        <v>134.64444444444416</v>
      </c>
      <c r="AE335" s="872">
        <f t="shared" si="85"/>
        <v>143.86666666666656</v>
      </c>
      <c r="AF335" s="872">
        <f t="shared" si="85"/>
        <v>110.6666666666668</v>
      </c>
      <c r="AG335" s="872">
        <f t="shared" si="85"/>
        <v>125.42222222222246</v>
      </c>
      <c r="AH335" s="872">
        <f t="shared" si="85"/>
        <v>134.64444444444416</v>
      </c>
      <c r="AI335" s="872">
        <f t="shared" si="85"/>
        <v>101.4444444444444</v>
      </c>
      <c r="AJ335" s="872">
        <f t="shared" si="70"/>
        <v>116.20000000000016</v>
      </c>
      <c r="AK335" s="872">
        <f t="shared" si="72"/>
        <v>125.42222222222246</v>
      </c>
    </row>
    <row r="336" spans="1:37" ht="13.5" thickBot="1">
      <c r="A336" s="868"/>
      <c r="B336" s="868"/>
      <c r="C336" s="868"/>
      <c r="D336" s="873">
        <f t="shared" si="82"/>
        <v>0.92499999999999727</v>
      </c>
      <c r="E336" s="872">
        <f t="shared" si="84"/>
        <v>259.00000000000017</v>
      </c>
      <c r="F336" s="872">
        <f t="shared" si="84"/>
        <v>273.80000000000075</v>
      </c>
      <c r="G336" s="872">
        <f t="shared" si="84"/>
        <v>283.04999999999939</v>
      </c>
      <c r="H336" s="872">
        <f t="shared" si="84"/>
        <v>240.49999999999983</v>
      </c>
      <c r="I336" s="872">
        <f t="shared" si="84"/>
        <v>255.30000000000038</v>
      </c>
      <c r="J336" s="872">
        <f t="shared" si="84"/>
        <v>264.55000000000058</v>
      </c>
      <c r="K336" s="872">
        <f t="shared" si="84"/>
        <v>222.00000000000026</v>
      </c>
      <c r="L336" s="872">
        <f t="shared" si="84"/>
        <v>236.80000000000007</v>
      </c>
      <c r="M336" s="872">
        <f t="shared" si="84"/>
        <v>246.05000000000024</v>
      </c>
      <c r="N336" s="872">
        <f t="shared" si="84"/>
        <v>166.5</v>
      </c>
      <c r="O336" s="872">
        <f t="shared" si="84"/>
        <v>181.29999999999981</v>
      </c>
      <c r="P336" s="872">
        <f t="shared" si="84"/>
        <v>190.54999999999998</v>
      </c>
      <c r="Q336" s="872">
        <f t="shared" si="84"/>
        <v>157.24999999999983</v>
      </c>
      <c r="R336" s="872">
        <f t="shared" si="84"/>
        <v>172.04999999999964</v>
      </c>
      <c r="S336" s="872">
        <f t="shared" si="84"/>
        <v>181.29999999999981</v>
      </c>
      <c r="T336" s="872">
        <f t="shared" si="84"/>
        <v>147.99999999999966</v>
      </c>
      <c r="U336" s="872">
        <f t="shared" si="85"/>
        <v>162.80000000000024</v>
      </c>
      <c r="V336" s="872">
        <f t="shared" si="85"/>
        <v>172.04999999999964</v>
      </c>
      <c r="W336" s="872">
        <f t="shared" si="85"/>
        <v>138.75000000000026</v>
      </c>
      <c r="X336" s="872">
        <f t="shared" si="85"/>
        <v>153.55000000000007</v>
      </c>
      <c r="Y336" s="872">
        <f t="shared" si="85"/>
        <v>162.80000000000024</v>
      </c>
      <c r="Z336" s="872">
        <f t="shared" si="85"/>
        <v>129.50000000000009</v>
      </c>
      <c r="AA336" s="872">
        <f t="shared" si="85"/>
        <v>144.2999999999999</v>
      </c>
      <c r="AB336" s="872">
        <f t="shared" si="85"/>
        <v>153.55000000000007</v>
      </c>
      <c r="AC336" s="872">
        <f t="shared" si="85"/>
        <v>120.24999999999991</v>
      </c>
      <c r="AD336" s="872">
        <f t="shared" si="85"/>
        <v>135.04999999999973</v>
      </c>
      <c r="AE336" s="872">
        <f t="shared" si="85"/>
        <v>144.2999999999999</v>
      </c>
      <c r="AF336" s="872">
        <f t="shared" si="85"/>
        <v>111.00000000000013</v>
      </c>
      <c r="AG336" s="872">
        <f t="shared" si="85"/>
        <v>125.80000000000024</v>
      </c>
      <c r="AH336" s="872">
        <f t="shared" si="85"/>
        <v>135.04999999999973</v>
      </c>
      <c r="AI336" s="872">
        <f t="shared" si="85"/>
        <v>101.74999999999996</v>
      </c>
      <c r="AJ336" s="872">
        <f t="shared" si="70"/>
        <v>116.55000000000015</v>
      </c>
      <c r="AK336" s="872">
        <f t="shared" ref="AK336:AK362" si="86">AK337-(AK$363/360)</f>
        <v>125.80000000000024</v>
      </c>
    </row>
    <row r="337" spans="1:37" ht="13.5" thickBot="1">
      <c r="A337" s="868"/>
      <c r="B337" s="868"/>
      <c r="C337" s="868"/>
      <c r="D337" s="873">
        <f t="shared" si="82"/>
        <v>0.92777777777777504</v>
      </c>
      <c r="E337" s="872">
        <f t="shared" si="84"/>
        <v>259.77777777777794</v>
      </c>
      <c r="F337" s="872">
        <f t="shared" si="84"/>
        <v>274.62222222222294</v>
      </c>
      <c r="G337" s="872">
        <f t="shared" si="84"/>
        <v>283.89999999999941</v>
      </c>
      <c r="H337" s="872">
        <f t="shared" si="84"/>
        <v>241.22222222222206</v>
      </c>
      <c r="I337" s="872">
        <f t="shared" si="84"/>
        <v>256.06666666666706</v>
      </c>
      <c r="J337" s="872">
        <f t="shared" si="84"/>
        <v>265.344444444445</v>
      </c>
      <c r="K337" s="872">
        <f t="shared" si="84"/>
        <v>222.66666666666691</v>
      </c>
      <c r="L337" s="872">
        <f t="shared" si="84"/>
        <v>237.51111111111118</v>
      </c>
      <c r="M337" s="872">
        <f t="shared" si="84"/>
        <v>246.78888888888912</v>
      </c>
      <c r="N337" s="872">
        <f t="shared" si="84"/>
        <v>167</v>
      </c>
      <c r="O337" s="872">
        <f t="shared" si="84"/>
        <v>181.84444444444426</v>
      </c>
      <c r="P337" s="872">
        <f t="shared" si="84"/>
        <v>191.12222222222221</v>
      </c>
      <c r="Q337" s="872">
        <f t="shared" si="84"/>
        <v>157.72222222222206</v>
      </c>
      <c r="R337" s="872">
        <f t="shared" si="84"/>
        <v>172.56666666666632</v>
      </c>
      <c r="S337" s="872">
        <f t="shared" si="84"/>
        <v>181.84444444444426</v>
      </c>
      <c r="T337" s="872">
        <f t="shared" si="84"/>
        <v>148.44444444444412</v>
      </c>
      <c r="U337" s="872">
        <f t="shared" si="85"/>
        <v>163.28888888888912</v>
      </c>
      <c r="V337" s="872">
        <f t="shared" si="85"/>
        <v>172.56666666666632</v>
      </c>
      <c r="W337" s="872">
        <f t="shared" si="85"/>
        <v>139.16666666666691</v>
      </c>
      <c r="X337" s="872">
        <f t="shared" si="85"/>
        <v>154.01111111111118</v>
      </c>
      <c r="Y337" s="872">
        <f t="shared" si="85"/>
        <v>163.28888888888912</v>
      </c>
      <c r="Z337" s="872">
        <f t="shared" si="85"/>
        <v>129.88888888888897</v>
      </c>
      <c r="AA337" s="872">
        <f t="shared" si="85"/>
        <v>144.73333333333323</v>
      </c>
      <c r="AB337" s="872">
        <f t="shared" si="85"/>
        <v>154.01111111111118</v>
      </c>
      <c r="AC337" s="872">
        <f t="shared" si="85"/>
        <v>120.61111111111103</v>
      </c>
      <c r="AD337" s="872">
        <f t="shared" si="85"/>
        <v>135.45555555555529</v>
      </c>
      <c r="AE337" s="872">
        <f t="shared" si="85"/>
        <v>144.73333333333323</v>
      </c>
      <c r="AF337" s="872">
        <f t="shared" si="85"/>
        <v>111.33333333333346</v>
      </c>
      <c r="AG337" s="872">
        <f t="shared" si="85"/>
        <v>126.17777777777802</v>
      </c>
      <c r="AH337" s="872">
        <f t="shared" si="85"/>
        <v>135.45555555555529</v>
      </c>
      <c r="AI337" s="872">
        <f t="shared" si="85"/>
        <v>102.05555555555551</v>
      </c>
      <c r="AJ337" s="872">
        <f t="shared" si="85"/>
        <v>116.90000000000015</v>
      </c>
      <c r="AK337" s="872">
        <f t="shared" si="86"/>
        <v>126.17777777777802</v>
      </c>
    </row>
    <row r="338" spans="1:37" ht="13.5" thickBot="1">
      <c r="A338" s="868"/>
      <c r="B338" s="868"/>
      <c r="C338" s="868"/>
      <c r="D338" s="873">
        <f t="shared" si="82"/>
        <v>0.9305555555555528</v>
      </c>
      <c r="E338" s="872">
        <f t="shared" si="84"/>
        <v>260.55555555555571</v>
      </c>
      <c r="F338" s="872">
        <f t="shared" si="84"/>
        <v>275.44444444444514</v>
      </c>
      <c r="G338" s="872">
        <f t="shared" si="84"/>
        <v>284.74999999999943</v>
      </c>
      <c r="H338" s="872">
        <f t="shared" si="84"/>
        <v>241.94444444444429</v>
      </c>
      <c r="I338" s="872">
        <f t="shared" si="84"/>
        <v>256.83333333333371</v>
      </c>
      <c r="J338" s="872">
        <f t="shared" si="84"/>
        <v>266.13888888888943</v>
      </c>
      <c r="K338" s="872">
        <f t="shared" si="84"/>
        <v>223.33333333333357</v>
      </c>
      <c r="L338" s="872">
        <f t="shared" si="84"/>
        <v>238.22222222222229</v>
      </c>
      <c r="M338" s="872">
        <f t="shared" si="84"/>
        <v>247.527777777778</v>
      </c>
      <c r="N338" s="872">
        <f t="shared" si="84"/>
        <v>167.5</v>
      </c>
      <c r="O338" s="872">
        <f t="shared" si="84"/>
        <v>182.38888888888872</v>
      </c>
      <c r="P338" s="872">
        <f t="shared" si="84"/>
        <v>191.69444444444443</v>
      </c>
      <c r="Q338" s="872">
        <f t="shared" si="84"/>
        <v>158.19444444444429</v>
      </c>
      <c r="R338" s="872">
        <f t="shared" si="84"/>
        <v>173.083333333333</v>
      </c>
      <c r="S338" s="872">
        <f t="shared" si="84"/>
        <v>182.38888888888872</v>
      </c>
      <c r="T338" s="872">
        <f t="shared" si="84"/>
        <v>148.88888888888857</v>
      </c>
      <c r="U338" s="872">
        <f t="shared" si="85"/>
        <v>163.777777777778</v>
      </c>
      <c r="V338" s="872">
        <f t="shared" si="85"/>
        <v>173.083333333333</v>
      </c>
      <c r="W338" s="872">
        <f t="shared" si="85"/>
        <v>139.58333333333357</v>
      </c>
      <c r="X338" s="872">
        <f t="shared" si="85"/>
        <v>154.47222222222229</v>
      </c>
      <c r="Y338" s="872">
        <f t="shared" si="85"/>
        <v>163.777777777778</v>
      </c>
      <c r="Z338" s="872">
        <f t="shared" si="85"/>
        <v>130.27777777777786</v>
      </c>
      <c r="AA338" s="872">
        <f t="shared" si="85"/>
        <v>145.16666666666657</v>
      </c>
      <c r="AB338" s="872">
        <f t="shared" si="85"/>
        <v>154.47222222222229</v>
      </c>
      <c r="AC338" s="872">
        <f t="shared" si="85"/>
        <v>120.97222222222214</v>
      </c>
      <c r="AD338" s="872">
        <f t="shared" si="85"/>
        <v>135.86111111111086</v>
      </c>
      <c r="AE338" s="872">
        <f t="shared" si="85"/>
        <v>145.16666666666657</v>
      </c>
      <c r="AF338" s="872">
        <f t="shared" si="85"/>
        <v>111.66666666666679</v>
      </c>
      <c r="AG338" s="872">
        <f t="shared" si="85"/>
        <v>126.5555555555558</v>
      </c>
      <c r="AH338" s="872">
        <f t="shared" si="85"/>
        <v>135.86111111111086</v>
      </c>
      <c r="AI338" s="872">
        <f t="shared" si="85"/>
        <v>102.36111111111107</v>
      </c>
      <c r="AJ338" s="872">
        <f t="shared" si="85"/>
        <v>117.25000000000014</v>
      </c>
      <c r="AK338" s="872">
        <f t="shared" si="86"/>
        <v>126.5555555555558</v>
      </c>
    </row>
    <row r="339" spans="1:37" ht="13.5" thickBot="1">
      <c r="A339" s="868"/>
      <c r="B339" s="868"/>
      <c r="C339" s="868"/>
      <c r="D339" s="873">
        <f t="shared" si="82"/>
        <v>0.93333333333333057</v>
      </c>
      <c r="E339" s="872">
        <f t="shared" si="84"/>
        <v>261.33333333333348</v>
      </c>
      <c r="F339" s="872">
        <f t="shared" si="84"/>
        <v>276.26666666666733</v>
      </c>
      <c r="G339" s="872">
        <f t="shared" si="84"/>
        <v>285.59999999999945</v>
      </c>
      <c r="H339" s="872">
        <f t="shared" si="84"/>
        <v>242.66666666666652</v>
      </c>
      <c r="I339" s="872">
        <f t="shared" si="84"/>
        <v>257.60000000000036</v>
      </c>
      <c r="J339" s="872">
        <f t="shared" si="84"/>
        <v>266.93333333333385</v>
      </c>
      <c r="K339" s="872">
        <f t="shared" si="84"/>
        <v>224.00000000000023</v>
      </c>
      <c r="L339" s="872">
        <f t="shared" si="84"/>
        <v>238.93333333333339</v>
      </c>
      <c r="M339" s="872">
        <f t="shared" si="84"/>
        <v>248.26666666666688</v>
      </c>
      <c r="N339" s="872">
        <f t="shared" si="84"/>
        <v>168</v>
      </c>
      <c r="O339" s="872">
        <f t="shared" si="84"/>
        <v>182.93333333333317</v>
      </c>
      <c r="P339" s="872">
        <f t="shared" si="84"/>
        <v>192.26666666666665</v>
      </c>
      <c r="Q339" s="872">
        <f t="shared" si="84"/>
        <v>158.66666666666652</v>
      </c>
      <c r="R339" s="872">
        <f t="shared" si="84"/>
        <v>173.59999999999968</v>
      </c>
      <c r="S339" s="872">
        <f t="shared" si="84"/>
        <v>182.93333333333317</v>
      </c>
      <c r="T339" s="872">
        <f t="shared" si="84"/>
        <v>149.33333333333303</v>
      </c>
      <c r="U339" s="872">
        <f t="shared" si="85"/>
        <v>164.26666666666688</v>
      </c>
      <c r="V339" s="872">
        <f t="shared" si="85"/>
        <v>173.59999999999968</v>
      </c>
      <c r="W339" s="872">
        <f t="shared" si="85"/>
        <v>140.00000000000023</v>
      </c>
      <c r="X339" s="872">
        <f t="shared" si="85"/>
        <v>154.93333333333339</v>
      </c>
      <c r="Y339" s="872">
        <f t="shared" si="85"/>
        <v>164.26666666666688</v>
      </c>
      <c r="Z339" s="872">
        <f t="shared" si="85"/>
        <v>130.66666666666674</v>
      </c>
      <c r="AA339" s="872">
        <f t="shared" si="85"/>
        <v>145.59999999999991</v>
      </c>
      <c r="AB339" s="872">
        <f t="shared" si="85"/>
        <v>154.93333333333339</v>
      </c>
      <c r="AC339" s="872">
        <f t="shared" si="85"/>
        <v>121.33333333333326</v>
      </c>
      <c r="AD339" s="872">
        <f t="shared" si="85"/>
        <v>136.26666666666642</v>
      </c>
      <c r="AE339" s="872">
        <f t="shared" si="85"/>
        <v>145.59999999999991</v>
      </c>
      <c r="AF339" s="872">
        <f t="shared" si="85"/>
        <v>112.00000000000011</v>
      </c>
      <c r="AG339" s="872">
        <f t="shared" si="85"/>
        <v>126.93333333333358</v>
      </c>
      <c r="AH339" s="872">
        <f t="shared" si="85"/>
        <v>136.26666666666642</v>
      </c>
      <c r="AI339" s="872">
        <f t="shared" si="85"/>
        <v>102.66666666666663</v>
      </c>
      <c r="AJ339" s="872">
        <f t="shared" si="85"/>
        <v>117.60000000000014</v>
      </c>
      <c r="AK339" s="872">
        <f t="shared" si="86"/>
        <v>126.93333333333358</v>
      </c>
    </row>
    <row r="340" spans="1:37" ht="13.5" thickBot="1">
      <c r="A340" s="868"/>
      <c r="B340" s="868"/>
      <c r="C340" s="868"/>
      <c r="D340" s="873">
        <f t="shared" si="82"/>
        <v>0.93611111111110834</v>
      </c>
      <c r="E340" s="872">
        <f t="shared" si="84"/>
        <v>262.11111111111126</v>
      </c>
      <c r="F340" s="872">
        <f t="shared" si="84"/>
        <v>277.08888888888953</v>
      </c>
      <c r="G340" s="872">
        <f t="shared" si="84"/>
        <v>286.44999999999948</v>
      </c>
      <c r="H340" s="872">
        <f t="shared" si="84"/>
        <v>243.38888888888874</v>
      </c>
      <c r="I340" s="872">
        <f t="shared" si="84"/>
        <v>258.36666666666702</v>
      </c>
      <c r="J340" s="872">
        <f t="shared" si="84"/>
        <v>267.72777777777827</v>
      </c>
      <c r="K340" s="872">
        <f t="shared" si="84"/>
        <v>224.66666666666688</v>
      </c>
      <c r="L340" s="872">
        <f t="shared" si="84"/>
        <v>239.6444444444445</v>
      </c>
      <c r="M340" s="872">
        <f t="shared" si="84"/>
        <v>249.00555555555576</v>
      </c>
      <c r="N340" s="872">
        <f t="shared" si="84"/>
        <v>168.5</v>
      </c>
      <c r="O340" s="872">
        <f t="shared" si="84"/>
        <v>183.47777777777762</v>
      </c>
      <c r="P340" s="872">
        <f t="shared" si="84"/>
        <v>192.83888888888887</v>
      </c>
      <c r="Q340" s="872">
        <f t="shared" si="84"/>
        <v>159.13888888888874</v>
      </c>
      <c r="R340" s="872">
        <f t="shared" si="84"/>
        <v>174.11666666666636</v>
      </c>
      <c r="S340" s="872">
        <f t="shared" si="84"/>
        <v>183.47777777777762</v>
      </c>
      <c r="T340" s="872">
        <f t="shared" si="84"/>
        <v>149.77777777777749</v>
      </c>
      <c r="U340" s="872">
        <f t="shared" si="85"/>
        <v>164.75555555555576</v>
      </c>
      <c r="V340" s="872">
        <f t="shared" si="85"/>
        <v>174.11666666666636</v>
      </c>
      <c r="W340" s="872">
        <f t="shared" si="85"/>
        <v>140.41666666666688</v>
      </c>
      <c r="X340" s="872">
        <f t="shared" si="85"/>
        <v>155.3944444444445</v>
      </c>
      <c r="Y340" s="872">
        <f t="shared" si="85"/>
        <v>164.75555555555576</v>
      </c>
      <c r="Z340" s="872">
        <f t="shared" si="85"/>
        <v>131.05555555555563</v>
      </c>
      <c r="AA340" s="872">
        <f t="shared" si="85"/>
        <v>146.03333333333325</v>
      </c>
      <c r="AB340" s="872">
        <f t="shared" si="85"/>
        <v>155.3944444444445</v>
      </c>
      <c r="AC340" s="872">
        <f t="shared" si="85"/>
        <v>121.69444444444437</v>
      </c>
      <c r="AD340" s="872">
        <f t="shared" si="85"/>
        <v>136.67222222222199</v>
      </c>
      <c r="AE340" s="872">
        <f t="shared" si="85"/>
        <v>146.03333333333325</v>
      </c>
      <c r="AF340" s="872">
        <f t="shared" si="85"/>
        <v>112.33333333333344</v>
      </c>
      <c r="AG340" s="872">
        <f t="shared" si="85"/>
        <v>127.31111111111136</v>
      </c>
      <c r="AH340" s="872">
        <f t="shared" si="85"/>
        <v>136.67222222222199</v>
      </c>
      <c r="AI340" s="872">
        <f t="shared" si="85"/>
        <v>102.97222222222219</v>
      </c>
      <c r="AJ340" s="872">
        <f t="shared" si="85"/>
        <v>117.95000000000013</v>
      </c>
      <c r="AK340" s="872">
        <f t="shared" si="86"/>
        <v>127.31111111111136</v>
      </c>
    </row>
    <row r="341" spans="1:37" ht="13.5" thickBot="1">
      <c r="A341" s="868"/>
      <c r="B341" s="868"/>
      <c r="C341" s="868"/>
      <c r="D341" s="873">
        <f t="shared" si="82"/>
        <v>0.93888888888888611</v>
      </c>
      <c r="E341" s="872">
        <f t="shared" si="84"/>
        <v>262.88888888888903</v>
      </c>
      <c r="F341" s="872">
        <f t="shared" si="84"/>
        <v>277.91111111111172</v>
      </c>
      <c r="G341" s="872">
        <f t="shared" si="84"/>
        <v>287.2999999999995</v>
      </c>
      <c r="H341" s="872">
        <f t="shared" si="84"/>
        <v>244.11111111111097</v>
      </c>
      <c r="I341" s="872">
        <f t="shared" si="84"/>
        <v>259.13333333333367</v>
      </c>
      <c r="J341" s="872">
        <f t="shared" si="84"/>
        <v>268.52222222222269</v>
      </c>
      <c r="K341" s="872">
        <f t="shared" si="84"/>
        <v>225.33333333333354</v>
      </c>
      <c r="L341" s="872">
        <f t="shared" si="84"/>
        <v>240.35555555555561</v>
      </c>
      <c r="M341" s="872">
        <f t="shared" si="84"/>
        <v>249.74444444444464</v>
      </c>
      <c r="N341" s="872">
        <f t="shared" si="84"/>
        <v>169</v>
      </c>
      <c r="O341" s="872">
        <f t="shared" si="84"/>
        <v>184.02222222222207</v>
      </c>
      <c r="P341" s="872">
        <f t="shared" si="84"/>
        <v>193.4111111111111</v>
      </c>
      <c r="Q341" s="872">
        <f t="shared" si="84"/>
        <v>159.61111111111097</v>
      </c>
      <c r="R341" s="872">
        <f t="shared" si="84"/>
        <v>174.63333333333304</v>
      </c>
      <c r="S341" s="872">
        <f t="shared" si="84"/>
        <v>184.02222222222207</v>
      </c>
      <c r="T341" s="872">
        <f t="shared" si="84"/>
        <v>150.22222222222194</v>
      </c>
      <c r="U341" s="872">
        <f t="shared" si="85"/>
        <v>165.24444444444464</v>
      </c>
      <c r="V341" s="872">
        <f t="shared" si="85"/>
        <v>174.63333333333304</v>
      </c>
      <c r="W341" s="872">
        <f t="shared" si="85"/>
        <v>140.83333333333354</v>
      </c>
      <c r="X341" s="872">
        <f t="shared" si="85"/>
        <v>155.85555555555561</v>
      </c>
      <c r="Y341" s="872">
        <f t="shared" si="85"/>
        <v>165.24444444444464</v>
      </c>
      <c r="Z341" s="872">
        <f t="shared" si="85"/>
        <v>131.44444444444451</v>
      </c>
      <c r="AA341" s="872">
        <f t="shared" si="85"/>
        <v>146.46666666666658</v>
      </c>
      <c r="AB341" s="872">
        <f t="shared" si="85"/>
        <v>155.85555555555561</v>
      </c>
      <c r="AC341" s="872">
        <f t="shared" si="85"/>
        <v>122.05555555555549</v>
      </c>
      <c r="AD341" s="872">
        <f t="shared" si="85"/>
        <v>137.07777777777756</v>
      </c>
      <c r="AE341" s="872">
        <f t="shared" si="85"/>
        <v>146.46666666666658</v>
      </c>
      <c r="AF341" s="872">
        <f t="shared" si="85"/>
        <v>112.66666666666677</v>
      </c>
      <c r="AG341" s="872">
        <f t="shared" si="85"/>
        <v>127.68888888888914</v>
      </c>
      <c r="AH341" s="872">
        <f t="shared" si="85"/>
        <v>137.07777777777756</v>
      </c>
      <c r="AI341" s="872">
        <f t="shared" si="85"/>
        <v>103.27777777777774</v>
      </c>
      <c r="AJ341" s="872">
        <f t="shared" si="85"/>
        <v>118.30000000000013</v>
      </c>
      <c r="AK341" s="872">
        <f t="shared" si="86"/>
        <v>127.68888888888914</v>
      </c>
    </row>
    <row r="342" spans="1:37" ht="13.5" thickBot="1">
      <c r="A342" s="868"/>
      <c r="B342" s="868"/>
      <c r="C342" s="868"/>
      <c r="D342" s="873">
        <f t="shared" si="82"/>
        <v>0.94166666666666388</v>
      </c>
      <c r="E342" s="872">
        <f t="shared" si="84"/>
        <v>263.6666666666668</v>
      </c>
      <c r="F342" s="872">
        <f t="shared" si="84"/>
        <v>278.73333333333392</v>
      </c>
      <c r="G342" s="872">
        <f t="shared" si="84"/>
        <v>288.14999999999952</v>
      </c>
      <c r="H342" s="872">
        <f t="shared" si="84"/>
        <v>244.8333333333332</v>
      </c>
      <c r="I342" s="872">
        <f t="shared" si="84"/>
        <v>259.90000000000032</v>
      </c>
      <c r="J342" s="872">
        <f t="shared" si="84"/>
        <v>269.31666666666712</v>
      </c>
      <c r="K342" s="872">
        <f t="shared" si="84"/>
        <v>226.0000000000002</v>
      </c>
      <c r="L342" s="872">
        <f t="shared" si="84"/>
        <v>241.06666666666672</v>
      </c>
      <c r="M342" s="872">
        <f t="shared" si="84"/>
        <v>250.48333333333352</v>
      </c>
      <c r="N342" s="872">
        <f t="shared" si="84"/>
        <v>169.5</v>
      </c>
      <c r="O342" s="872">
        <f t="shared" si="84"/>
        <v>184.56666666666652</v>
      </c>
      <c r="P342" s="872">
        <f t="shared" si="84"/>
        <v>193.98333333333332</v>
      </c>
      <c r="Q342" s="872">
        <f t="shared" si="84"/>
        <v>160.0833333333332</v>
      </c>
      <c r="R342" s="872">
        <f t="shared" si="84"/>
        <v>175.14999999999972</v>
      </c>
      <c r="S342" s="872">
        <f t="shared" si="84"/>
        <v>184.56666666666652</v>
      </c>
      <c r="T342" s="872">
        <f t="shared" si="84"/>
        <v>150.6666666666664</v>
      </c>
      <c r="U342" s="872">
        <f t="shared" si="85"/>
        <v>165.73333333333352</v>
      </c>
      <c r="V342" s="872">
        <f t="shared" si="85"/>
        <v>175.14999999999972</v>
      </c>
      <c r="W342" s="872">
        <f t="shared" si="85"/>
        <v>141.2500000000002</v>
      </c>
      <c r="X342" s="872">
        <f t="shared" si="85"/>
        <v>156.31666666666672</v>
      </c>
      <c r="Y342" s="872">
        <f t="shared" si="85"/>
        <v>165.73333333333352</v>
      </c>
      <c r="Z342" s="872">
        <f t="shared" si="85"/>
        <v>131.8333333333334</v>
      </c>
      <c r="AA342" s="872">
        <f t="shared" si="85"/>
        <v>146.89999999999992</v>
      </c>
      <c r="AB342" s="872">
        <f t="shared" si="85"/>
        <v>156.31666666666672</v>
      </c>
      <c r="AC342" s="872">
        <f t="shared" si="85"/>
        <v>122.4166666666666</v>
      </c>
      <c r="AD342" s="872">
        <f t="shared" si="85"/>
        <v>137.48333333333312</v>
      </c>
      <c r="AE342" s="872">
        <f t="shared" si="85"/>
        <v>146.89999999999992</v>
      </c>
      <c r="AF342" s="872">
        <f t="shared" si="85"/>
        <v>113.0000000000001</v>
      </c>
      <c r="AG342" s="872">
        <f t="shared" si="85"/>
        <v>128.06666666666692</v>
      </c>
      <c r="AH342" s="872">
        <f t="shared" si="85"/>
        <v>137.48333333333312</v>
      </c>
      <c r="AI342" s="872">
        <f t="shared" si="85"/>
        <v>103.5833333333333</v>
      </c>
      <c r="AJ342" s="872">
        <f t="shared" si="85"/>
        <v>118.65000000000012</v>
      </c>
      <c r="AK342" s="872">
        <f t="shared" si="86"/>
        <v>128.06666666666692</v>
      </c>
    </row>
    <row r="343" spans="1:37" ht="13.5" thickBot="1">
      <c r="A343" s="868"/>
      <c r="B343" s="868"/>
      <c r="C343" s="868"/>
      <c r="D343" s="873">
        <f t="shared" si="82"/>
        <v>0.94444444444444164</v>
      </c>
      <c r="E343" s="872">
        <f t="shared" si="84"/>
        <v>264.44444444444457</v>
      </c>
      <c r="F343" s="872">
        <f t="shared" si="84"/>
        <v>279.55555555555611</v>
      </c>
      <c r="G343" s="872">
        <f t="shared" si="84"/>
        <v>288.99999999999955</v>
      </c>
      <c r="H343" s="872">
        <f t="shared" si="84"/>
        <v>245.55555555555543</v>
      </c>
      <c r="I343" s="872">
        <f t="shared" si="84"/>
        <v>260.66666666666697</v>
      </c>
      <c r="J343" s="872">
        <f t="shared" si="84"/>
        <v>270.11111111111154</v>
      </c>
      <c r="K343" s="872">
        <f t="shared" si="84"/>
        <v>226.66666666666686</v>
      </c>
      <c r="L343" s="872">
        <f t="shared" si="84"/>
        <v>241.77777777777783</v>
      </c>
      <c r="M343" s="872">
        <f t="shared" si="84"/>
        <v>251.2222222222224</v>
      </c>
      <c r="N343" s="872">
        <f t="shared" si="84"/>
        <v>170</v>
      </c>
      <c r="O343" s="872">
        <f t="shared" si="84"/>
        <v>185.11111111111097</v>
      </c>
      <c r="P343" s="872">
        <f t="shared" si="84"/>
        <v>194.55555555555554</v>
      </c>
      <c r="Q343" s="872">
        <f t="shared" si="84"/>
        <v>160.55555555555543</v>
      </c>
      <c r="R343" s="872">
        <f t="shared" si="84"/>
        <v>175.6666666666664</v>
      </c>
      <c r="S343" s="872">
        <f t="shared" si="84"/>
        <v>185.11111111111097</v>
      </c>
      <c r="T343" s="872">
        <f t="shared" si="84"/>
        <v>151.11111111111086</v>
      </c>
      <c r="U343" s="872">
        <f t="shared" si="85"/>
        <v>166.2222222222224</v>
      </c>
      <c r="V343" s="872">
        <f t="shared" si="85"/>
        <v>175.6666666666664</v>
      </c>
      <c r="W343" s="872">
        <f t="shared" si="85"/>
        <v>141.66666666666686</v>
      </c>
      <c r="X343" s="872">
        <f t="shared" si="85"/>
        <v>156.77777777777783</v>
      </c>
      <c r="Y343" s="872">
        <f t="shared" si="85"/>
        <v>166.2222222222224</v>
      </c>
      <c r="Z343" s="872">
        <f t="shared" si="85"/>
        <v>132.22222222222229</v>
      </c>
      <c r="AA343" s="872">
        <f t="shared" si="85"/>
        <v>147.33333333333326</v>
      </c>
      <c r="AB343" s="872">
        <f t="shared" si="85"/>
        <v>156.77777777777783</v>
      </c>
      <c r="AC343" s="872">
        <f t="shared" si="85"/>
        <v>122.77777777777771</v>
      </c>
      <c r="AD343" s="872">
        <f t="shared" si="85"/>
        <v>137.88888888888869</v>
      </c>
      <c r="AE343" s="872">
        <f t="shared" si="85"/>
        <v>147.33333333333326</v>
      </c>
      <c r="AF343" s="872">
        <f t="shared" si="85"/>
        <v>113.33333333333343</v>
      </c>
      <c r="AG343" s="872">
        <f t="shared" si="85"/>
        <v>128.44444444444468</v>
      </c>
      <c r="AH343" s="872">
        <f t="shared" si="85"/>
        <v>137.88888888888869</v>
      </c>
      <c r="AI343" s="872">
        <f t="shared" si="85"/>
        <v>103.88888888888886</v>
      </c>
      <c r="AJ343" s="872">
        <f t="shared" si="85"/>
        <v>119.00000000000011</v>
      </c>
      <c r="AK343" s="872">
        <f t="shared" si="86"/>
        <v>128.44444444444468</v>
      </c>
    </row>
    <row r="344" spans="1:37" ht="13.5" thickBot="1">
      <c r="A344" s="868"/>
      <c r="B344" s="868"/>
      <c r="C344" s="868"/>
      <c r="D344" s="873">
        <f t="shared" si="82"/>
        <v>0.94722222222221941</v>
      </c>
      <c r="E344" s="872">
        <f>E345-(E$363/360)</f>
        <v>265.22222222222234</v>
      </c>
      <c r="F344" s="872">
        <f t="shared" si="84"/>
        <v>280.37777777777831</v>
      </c>
      <c r="G344" s="872">
        <f t="shared" si="84"/>
        <v>289.84999999999957</v>
      </c>
      <c r="H344" s="872">
        <f t="shared" si="84"/>
        <v>246.27777777777766</v>
      </c>
      <c r="I344" s="872">
        <f t="shared" si="84"/>
        <v>261.43333333333362</v>
      </c>
      <c r="J344" s="872">
        <f t="shared" si="84"/>
        <v>270.90555555555596</v>
      </c>
      <c r="K344" s="872">
        <f t="shared" si="84"/>
        <v>227.33333333333351</v>
      </c>
      <c r="L344" s="872">
        <f t="shared" si="84"/>
        <v>242.48888888888894</v>
      </c>
      <c r="M344" s="872">
        <f t="shared" si="84"/>
        <v>251.96111111111128</v>
      </c>
      <c r="N344" s="872">
        <f t="shared" si="84"/>
        <v>170.5</v>
      </c>
      <c r="O344" s="872">
        <f t="shared" si="84"/>
        <v>185.65555555555542</v>
      </c>
      <c r="P344" s="872">
        <f t="shared" si="84"/>
        <v>195.12777777777777</v>
      </c>
      <c r="Q344" s="872">
        <f t="shared" si="84"/>
        <v>161.02777777777766</v>
      </c>
      <c r="R344" s="872">
        <f t="shared" si="84"/>
        <v>176.18333333333308</v>
      </c>
      <c r="S344" s="872">
        <f t="shared" si="84"/>
        <v>185.65555555555542</v>
      </c>
      <c r="T344" s="872">
        <f t="shared" si="84"/>
        <v>151.55555555555532</v>
      </c>
      <c r="U344" s="872">
        <f t="shared" si="85"/>
        <v>166.71111111111128</v>
      </c>
      <c r="V344" s="872">
        <f t="shared" si="85"/>
        <v>176.18333333333308</v>
      </c>
      <c r="W344" s="872">
        <f t="shared" si="85"/>
        <v>142.08333333333351</v>
      </c>
      <c r="X344" s="872">
        <f t="shared" si="85"/>
        <v>157.23888888888894</v>
      </c>
      <c r="Y344" s="872">
        <f t="shared" si="85"/>
        <v>166.71111111111128</v>
      </c>
      <c r="Z344" s="872">
        <f t="shared" si="85"/>
        <v>132.61111111111117</v>
      </c>
      <c r="AA344" s="872">
        <f t="shared" si="85"/>
        <v>147.76666666666659</v>
      </c>
      <c r="AB344" s="872">
        <f t="shared" si="85"/>
        <v>157.23888888888894</v>
      </c>
      <c r="AC344" s="872">
        <f t="shared" si="85"/>
        <v>123.13888888888883</v>
      </c>
      <c r="AD344" s="872">
        <f t="shared" si="85"/>
        <v>138.29444444444425</v>
      </c>
      <c r="AE344" s="872">
        <f t="shared" si="85"/>
        <v>147.76666666666659</v>
      </c>
      <c r="AF344" s="872">
        <f t="shared" si="85"/>
        <v>113.66666666666676</v>
      </c>
      <c r="AG344" s="872">
        <f t="shared" si="85"/>
        <v>128.82222222222245</v>
      </c>
      <c r="AH344" s="872">
        <f t="shared" si="85"/>
        <v>138.29444444444425</v>
      </c>
      <c r="AI344" s="872">
        <f t="shared" si="85"/>
        <v>104.19444444444441</v>
      </c>
      <c r="AJ344" s="872">
        <f t="shared" si="85"/>
        <v>119.35000000000011</v>
      </c>
      <c r="AK344" s="872">
        <f t="shared" si="86"/>
        <v>128.82222222222245</v>
      </c>
    </row>
    <row r="345" spans="1:37" ht="13.5" thickBot="1">
      <c r="A345" s="868"/>
      <c r="B345" s="868"/>
      <c r="C345" s="868"/>
      <c r="D345" s="873">
        <f t="shared" si="82"/>
        <v>0.94999999999999718</v>
      </c>
      <c r="E345" s="872">
        <f t="shared" si="84"/>
        <v>266.00000000000011</v>
      </c>
      <c r="F345" s="872">
        <f t="shared" si="84"/>
        <v>281.2000000000005</v>
      </c>
      <c r="G345" s="872">
        <f t="shared" si="84"/>
        <v>290.69999999999959</v>
      </c>
      <c r="H345" s="872">
        <f t="shared" si="84"/>
        <v>246.99999999999989</v>
      </c>
      <c r="I345" s="872">
        <f t="shared" si="84"/>
        <v>262.20000000000027</v>
      </c>
      <c r="J345" s="872">
        <f t="shared" si="84"/>
        <v>271.70000000000039</v>
      </c>
      <c r="K345" s="872">
        <f t="shared" si="84"/>
        <v>228.00000000000017</v>
      </c>
      <c r="L345" s="872">
        <f t="shared" si="84"/>
        <v>243.20000000000005</v>
      </c>
      <c r="M345" s="872">
        <f t="shared" si="84"/>
        <v>252.70000000000016</v>
      </c>
      <c r="N345" s="872">
        <f t="shared" si="84"/>
        <v>171</v>
      </c>
      <c r="O345" s="872">
        <f t="shared" si="84"/>
        <v>186.19999999999987</v>
      </c>
      <c r="P345" s="872">
        <f t="shared" si="84"/>
        <v>195.7</v>
      </c>
      <c r="Q345" s="872">
        <f t="shared" si="84"/>
        <v>161.49999999999989</v>
      </c>
      <c r="R345" s="872">
        <f t="shared" si="84"/>
        <v>176.69999999999976</v>
      </c>
      <c r="S345" s="872">
        <f t="shared" si="84"/>
        <v>186.19999999999987</v>
      </c>
      <c r="T345" s="872">
        <f t="shared" si="84"/>
        <v>151.99999999999977</v>
      </c>
      <c r="U345" s="872">
        <f t="shared" si="85"/>
        <v>167.20000000000016</v>
      </c>
      <c r="V345" s="872">
        <f t="shared" si="85"/>
        <v>176.69999999999976</v>
      </c>
      <c r="W345" s="872">
        <f t="shared" si="85"/>
        <v>142.50000000000017</v>
      </c>
      <c r="X345" s="872">
        <f t="shared" si="85"/>
        <v>157.70000000000005</v>
      </c>
      <c r="Y345" s="872">
        <f t="shared" si="85"/>
        <v>167.20000000000016</v>
      </c>
      <c r="Z345" s="872">
        <f t="shared" si="85"/>
        <v>133.00000000000006</v>
      </c>
      <c r="AA345" s="872">
        <f t="shared" si="85"/>
        <v>148.19999999999993</v>
      </c>
      <c r="AB345" s="872">
        <f t="shared" si="85"/>
        <v>157.70000000000005</v>
      </c>
      <c r="AC345" s="872">
        <f t="shared" si="85"/>
        <v>123.49999999999994</v>
      </c>
      <c r="AD345" s="872">
        <f t="shared" si="85"/>
        <v>138.69999999999982</v>
      </c>
      <c r="AE345" s="872">
        <f t="shared" si="85"/>
        <v>148.19999999999993</v>
      </c>
      <c r="AF345" s="872">
        <f t="shared" si="85"/>
        <v>114.00000000000009</v>
      </c>
      <c r="AG345" s="872">
        <f t="shared" si="85"/>
        <v>129.20000000000022</v>
      </c>
      <c r="AH345" s="872">
        <f t="shared" si="85"/>
        <v>138.69999999999982</v>
      </c>
      <c r="AI345" s="872">
        <f t="shared" si="85"/>
        <v>104.49999999999997</v>
      </c>
      <c r="AJ345" s="872">
        <f t="shared" si="85"/>
        <v>119.7000000000001</v>
      </c>
      <c r="AK345" s="872">
        <f t="shared" si="86"/>
        <v>129.20000000000022</v>
      </c>
    </row>
    <row r="346" spans="1:37" ht="13.5" thickBot="1">
      <c r="A346" s="868"/>
      <c r="B346" s="868"/>
      <c r="C346" s="868"/>
      <c r="D346" s="873">
        <f t="shared" si="82"/>
        <v>0.95277777777777495</v>
      </c>
      <c r="E346" s="872">
        <f t="shared" si="84"/>
        <v>266.77777777777789</v>
      </c>
      <c r="F346" s="872">
        <f t="shared" si="84"/>
        <v>282.02222222222269</v>
      </c>
      <c r="G346" s="872">
        <f t="shared" si="84"/>
        <v>291.54999999999961</v>
      </c>
      <c r="H346" s="872">
        <f t="shared" si="84"/>
        <v>247.72222222222211</v>
      </c>
      <c r="I346" s="872">
        <f t="shared" si="84"/>
        <v>262.96666666666692</v>
      </c>
      <c r="J346" s="872">
        <f t="shared" si="84"/>
        <v>272.49444444444481</v>
      </c>
      <c r="K346" s="872">
        <f t="shared" si="84"/>
        <v>228.66666666666683</v>
      </c>
      <c r="L346" s="872">
        <f t="shared" si="84"/>
        <v>243.91111111111115</v>
      </c>
      <c r="M346" s="872">
        <f t="shared" si="84"/>
        <v>253.43888888888904</v>
      </c>
      <c r="N346" s="872">
        <f t="shared" si="84"/>
        <v>171.5</v>
      </c>
      <c r="O346" s="872">
        <f t="shared" si="84"/>
        <v>186.74444444444433</v>
      </c>
      <c r="P346" s="872">
        <f t="shared" si="84"/>
        <v>196.27222222222221</v>
      </c>
      <c r="Q346" s="872">
        <f t="shared" si="84"/>
        <v>161.97222222222211</v>
      </c>
      <c r="R346" s="872">
        <f t="shared" si="84"/>
        <v>177.21666666666644</v>
      </c>
      <c r="S346" s="872">
        <f t="shared" si="84"/>
        <v>186.74444444444433</v>
      </c>
      <c r="T346" s="872">
        <f t="shared" si="84"/>
        <v>152.44444444444423</v>
      </c>
      <c r="U346" s="872">
        <f t="shared" si="85"/>
        <v>167.68888888888904</v>
      </c>
      <c r="V346" s="872">
        <f t="shared" si="85"/>
        <v>177.21666666666644</v>
      </c>
      <c r="W346" s="872">
        <f t="shared" si="85"/>
        <v>142.91666666666683</v>
      </c>
      <c r="X346" s="872">
        <f t="shared" si="85"/>
        <v>158.16111111111115</v>
      </c>
      <c r="Y346" s="872">
        <f t="shared" si="85"/>
        <v>167.68888888888904</v>
      </c>
      <c r="Z346" s="872">
        <f t="shared" si="85"/>
        <v>133.38888888888894</v>
      </c>
      <c r="AA346" s="872">
        <f t="shared" si="85"/>
        <v>148.63333333333327</v>
      </c>
      <c r="AB346" s="872">
        <f t="shared" si="85"/>
        <v>158.16111111111115</v>
      </c>
      <c r="AC346" s="872">
        <f t="shared" si="85"/>
        <v>123.86111111111106</v>
      </c>
      <c r="AD346" s="872">
        <f t="shared" si="85"/>
        <v>139.10555555555538</v>
      </c>
      <c r="AE346" s="872">
        <f t="shared" si="85"/>
        <v>148.63333333333327</v>
      </c>
      <c r="AF346" s="872">
        <f t="shared" si="85"/>
        <v>114.33333333333341</v>
      </c>
      <c r="AG346" s="872">
        <f t="shared" si="85"/>
        <v>129.57777777777798</v>
      </c>
      <c r="AH346" s="872">
        <f t="shared" si="85"/>
        <v>139.10555555555538</v>
      </c>
      <c r="AI346" s="872">
        <f t="shared" si="85"/>
        <v>104.80555555555553</v>
      </c>
      <c r="AJ346" s="872">
        <f t="shared" si="85"/>
        <v>120.0500000000001</v>
      </c>
      <c r="AK346" s="872">
        <f t="shared" si="86"/>
        <v>129.57777777777798</v>
      </c>
    </row>
    <row r="347" spans="1:37" ht="13.5" thickBot="1">
      <c r="A347" s="868"/>
      <c r="B347" s="868"/>
      <c r="C347" s="868"/>
      <c r="D347" s="873">
        <f t="shared" si="82"/>
        <v>0.95555555555555272</v>
      </c>
      <c r="E347" s="872">
        <f t="shared" ref="E347:T362" si="87">E348-(E$363/360)</f>
        <v>267.55555555555566</v>
      </c>
      <c r="F347" s="872">
        <f t="shared" si="87"/>
        <v>282.84444444444489</v>
      </c>
      <c r="G347" s="872">
        <f t="shared" si="87"/>
        <v>292.39999999999964</v>
      </c>
      <c r="H347" s="872">
        <f t="shared" si="87"/>
        <v>248.44444444444434</v>
      </c>
      <c r="I347" s="872">
        <f t="shared" si="87"/>
        <v>263.73333333333358</v>
      </c>
      <c r="J347" s="872">
        <f t="shared" si="87"/>
        <v>273.28888888888923</v>
      </c>
      <c r="K347" s="872">
        <f t="shared" si="87"/>
        <v>229.33333333333348</v>
      </c>
      <c r="L347" s="872">
        <f t="shared" si="87"/>
        <v>244.62222222222226</v>
      </c>
      <c r="M347" s="872">
        <f t="shared" si="87"/>
        <v>254.17777777777792</v>
      </c>
      <c r="N347" s="872">
        <f t="shared" si="87"/>
        <v>172</v>
      </c>
      <c r="O347" s="872">
        <f t="shared" si="87"/>
        <v>187.28888888888878</v>
      </c>
      <c r="P347" s="872">
        <f t="shared" si="87"/>
        <v>196.84444444444443</v>
      </c>
      <c r="Q347" s="872">
        <f t="shared" si="87"/>
        <v>162.44444444444434</v>
      </c>
      <c r="R347" s="872">
        <f t="shared" si="87"/>
        <v>177.73333333333312</v>
      </c>
      <c r="S347" s="872">
        <f t="shared" si="87"/>
        <v>187.28888888888878</v>
      </c>
      <c r="T347" s="872">
        <f t="shared" si="87"/>
        <v>152.88888888888869</v>
      </c>
      <c r="U347" s="872">
        <f t="shared" si="85"/>
        <v>168.17777777777792</v>
      </c>
      <c r="V347" s="872">
        <f t="shared" si="85"/>
        <v>177.73333333333312</v>
      </c>
      <c r="W347" s="872">
        <f t="shared" si="85"/>
        <v>143.33333333333348</v>
      </c>
      <c r="X347" s="872">
        <f t="shared" si="85"/>
        <v>158.62222222222226</v>
      </c>
      <c r="Y347" s="872">
        <f t="shared" si="85"/>
        <v>168.17777777777792</v>
      </c>
      <c r="Z347" s="872">
        <f t="shared" ref="Z347:AJ348" si="88">Z348-(Z$363/360)</f>
        <v>133.77777777777783</v>
      </c>
      <c r="AA347" s="872">
        <f t="shared" si="88"/>
        <v>149.06666666666661</v>
      </c>
      <c r="AB347" s="872">
        <f t="shared" si="88"/>
        <v>158.62222222222226</v>
      </c>
      <c r="AC347" s="872">
        <f t="shared" si="88"/>
        <v>124.22222222222217</v>
      </c>
      <c r="AD347" s="872">
        <f t="shared" si="88"/>
        <v>139.51111111111095</v>
      </c>
      <c r="AE347" s="872">
        <f t="shared" si="88"/>
        <v>149.06666666666661</v>
      </c>
      <c r="AF347" s="872">
        <f t="shared" si="88"/>
        <v>114.66666666666674</v>
      </c>
      <c r="AG347" s="872">
        <f t="shared" si="88"/>
        <v>129.95555555555575</v>
      </c>
      <c r="AH347" s="872">
        <f t="shared" si="88"/>
        <v>139.51111111111095</v>
      </c>
      <c r="AI347" s="872">
        <f t="shared" si="88"/>
        <v>105.11111111111109</v>
      </c>
      <c r="AJ347" s="872">
        <f t="shared" si="88"/>
        <v>120.40000000000009</v>
      </c>
      <c r="AK347" s="872">
        <f t="shared" si="86"/>
        <v>129.95555555555575</v>
      </c>
    </row>
    <row r="348" spans="1:37" ht="13.5" thickBot="1">
      <c r="A348" s="868"/>
      <c r="B348" s="868"/>
      <c r="C348" s="868"/>
      <c r="D348" s="873">
        <f t="shared" si="82"/>
        <v>0.95833333333333048</v>
      </c>
      <c r="E348" s="872">
        <f t="shared" si="87"/>
        <v>268.33333333333343</v>
      </c>
      <c r="F348" s="872">
        <f t="shared" si="87"/>
        <v>283.66666666666708</v>
      </c>
      <c r="G348" s="872">
        <f t="shared" si="87"/>
        <v>293.24999999999966</v>
      </c>
      <c r="H348" s="872">
        <f t="shared" si="87"/>
        <v>249.16666666666657</v>
      </c>
      <c r="I348" s="872">
        <f t="shared" si="87"/>
        <v>264.50000000000023</v>
      </c>
      <c r="J348" s="872">
        <f t="shared" si="87"/>
        <v>274.08333333333366</v>
      </c>
      <c r="K348" s="872">
        <f t="shared" si="87"/>
        <v>230.00000000000014</v>
      </c>
      <c r="L348" s="872">
        <f t="shared" si="87"/>
        <v>245.33333333333337</v>
      </c>
      <c r="M348" s="872">
        <f t="shared" si="87"/>
        <v>254.9166666666668</v>
      </c>
      <c r="N348" s="872">
        <f t="shared" si="87"/>
        <v>172.5</v>
      </c>
      <c r="O348" s="872">
        <f t="shared" si="87"/>
        <v>187.83333333333323</v>
      </c>
      <c r="P348" s="872">
        <f t="shared" si="87"/>
        <v>197.41666666666666</v>
      </c>
      <c r="Q348" s="872">
        <f t="shared" si="87"/>
        <v>162.91666666666657</v>
      </c>
      <c r="R348" s="872">
        <f t="shared" si="87"/>
        <v>178.2499999999998</v>
      </c>
      <c r="S348" s="872">
        <f t="shared" si="87"/>
        <v>187.83333333333323</v>
      </c>
      <c r="T348" s="872">
        <f t="shared" si="87"/>
        <v>153.33333333333314</v>
      </c>
      <c r="U348" s="872">
        <f t="shared" ref="U348:AJ362" si="89">U349-(U$363/360)</f>
        <v>168.6666666666668</v>
      </c>
      <c r="V348" s="872">
        <f t="shared" si="89"/>
        <v>178.2499999999998</v>
      </c>
      <c r="W348" s="872">
        <f t="shared" si="89"/>
        <v>143.75000000000014</v>
      </c>
      <c r="X348" s="872">
        <f t="shared" si="89"/>
        <v>159.08333333333337</v>
      </c>
      <c r="Y348" s="872">
        <f>Y349-(Y$363/360)</f>
        <v>168.6666666666668</v>
      </c>
      <c r="Z348" s="872">
        <f t="shared" si="88"/>
        <v>134.16666666666671</v>
      </c>
      <c r="AA348" s="872">
        <f t="shared" si="88"/>
        <v>149.49999999999994</v>
      </c>
      <c r="AB348" s="872">
        <f t="shared" si="88"/>
        <v>159.08333333333337</v>
      </c>
      <c r="AC348" s="872">
        <f t="shared" si="88"/>
        <v>124.58333333333329</v>
      </c>
      <c r="AD348" s="872">
        <f t="shared" si="88"/>
        <v>139.91666666666652</v>
      </c>
      <c r="AE348" s="872">
        <f t="shared" si="88"/>
        <v>149.49999999999994</v>
      </c>
      <c r="AF348" s="872">
        <f t="shared" si="88"/>
        <v>115.00000000000007</v>
      </c>
      <c r="AG348" s="872">
        <f t="shared" si="88"/>
        <v>130.33333333333351</v>
      </c>
      <c r="AH348" s="872">
        <f t="shared" si="88"/>
        <v>139.91666666666652</v>
      </c>
      <c r="AI348" s="872">
        <f t="shared" si="88"/>
        <v>105.41666666666664</v>
      </c>
      <c r="AJ348" s="872">
        <f t="shared" si="88"/>
        <v>120.75000000000009</v>
      </c>
      <c r="AK348" s="872">
        <f t="shared" si="86"/>
        <v>130.33333333333351</v>
      </c>
    </row>
    <row r="349" spans="1:37" ht="13.5" thickBot="1">
      <c r="A349" s="868"/>
      <c r="B349" s="868"/>
      <c r="C349" s="868"/>
      <c r="D349" s="873">
        <f t="shared" si="82"/>
        <v>0.96111111111110825</v>
      </c>
      <c r="E349" s="872">
        <f t="shared" si="87"/>
        <v>269.1111111111112</v>
      </c>
      <c r="F349" s="872">
        <f t="shared" si="87"/>
        <v>284.48888888888928</v>
      </c>
      <c r="G349" s="872">
        <f t="shared" si="87"/>
        <v>294.09999999999968</v>
      </c>
      <c r="H349" s="872">
        <f t="shared" si="87"/>
        <v>249.8888888888888</v>
      </c>
      <c r="I349" s="872">
        <f t="shared" si="87"/>
        <v>265.26666666666688</v>
      </c>
      <c r="J349" s="872">
        <f t="shared" si="87"/>
        <v>274.87777777777808</v>
      </c>
      <c r="K349" s="872">
        <f t="shared" si="87"/>
        <v>230.6666666666668</v>
      </c>
      <c r="L349" s="872">
        <f t="shared" si="87"/>
        <v>246.04444444444448</v>
      </c>
      <c r="M349" s="872">
        <f t="shared" si="87"/>
        <v>255.65555555555568</v>
      </c>
      <c r="N349" s="872">
        <f t="shared" si="87"/>
        <v>173</v>
      </c>
      <c r="O349" s="872">
        <f t="shared" si="87"/>
        <v>188.37777777777768</v>
      </c>
      <c r="P349" s="872">
        <f t="shared" si="87"/>
        <v>197.98888888888888</v>
      </c>
      <c r="Q349" s="872">
        <f t="shared" si="87"/>
        <v>163.3888888888888</v>
      </c>
      <c r="R349" s="872">
        <f t="shared" si="87"/>
        <v>178.76666666666648</v>
      </c>
      <c r="S349" s="872">
        <f t="shared" si="87"/>
        <v>188.37777777777768</v>
      </c>
      <c r="T349" s="872">
        <f t="shared" si="87"/>
        <v>153.7777777777776</v>
      </c>
      <c r="U349" s="872">
        <f t="shared" si="89"/>
        <v>169.15555555555568</v>
      </c>
      <c r="V349" s="872">
        <f t="shared" si="89"/>
        <v>178.76666666666648</v>
      </c>
      <c r="W349" s="872">
        <f t="shared" si="89"/>
        <v>144.1666666666668</v>
      </c>
      <c r="X349" s="872">
        <f t="shared" si="89"/>
        <v>159.54444444444448</v>
      </c>
      <c r="Y349" s="872">
        <f t="shared" si="89"/>
        <v>169.15555555555568</v>
      </c>
      <c r="Z349" s="872">
        <f t="shared" si="89"/>
        <v>134.5555555555556</v>
      </c>
      <c r="AA349" s="872">
        <f t="shared" si="89"/>
        <v>149.93333333333328</v>
      </c>
      <c r="AB349" s="872">
        <f t="shared" si="89"/>
        <v>159.54444444444448</v>
      </c>
      <c r="AC349" s="872">
        <f t="shared" si="89"/>
        <v>124.9444444444444</v>
      </c>
      <c r="AD349" s="872">
        <f t="shared" si="89"/>
        <v>140.32222222222208</v>
      </c>
      <c r="AE349" s="872">
        <f t="shared" si="89"/>
        <v>149.93333333333328</v>
      </c>
      <c r="AF349" s="872">
        <f t="shared" si="89"/>
        <v>115.3333333333334</v>
      </c>
      <c r="AG349" s="872">
        <f t="shared" si="89"/>
        <v>130.71111111111128</v>
      </c>
      <c r="AH349" s="872">
        <f t="shared" si="89"/>
        <v>140.32222222222208</v>
      </c>
      <c r="AI349" s="872">
        <f t="shared" si="89"/>
        <v>105.7222222222222</v>
      </c>
      <c r="AJ349" s="872">
        <f t="shared" si="89"/>
        <v>121.10000000000008</v>
      </c>
      <c r="AK349" s="872">
        <f t="shared" si="86"/>
        <v>130.71111111111128</v>
      </c>
    </row>
    <row r="350" spans="1:37" ht="13.5" thickBot="1">
      <c r="A350" s="868"/>
      <c r="B350" s="868"/>
      <c r="C350" s="868"/>
      <c r="D350" s="873">
        <f t="shared" si="82"/>
        <v>0.96388888888888602</v>
      </c>
      <c r="E350" s="872">
        <f t="shared" si="87"/>
        <v>269.88888888888897</v>
      </c>
      <c r="F350" s="872">
        <f t="shared" si="87"/>
        <v>285.31111111111147</v>
      </c>
      <c r="G350" s="872">
        <f t="shared" si="87"/>
        <v>294.9499999999997</v>
      </c>
      <c r="H350" s="872">
        <f t="shared" si="87"/>
        <v>250.61111111111103</v>
      </c>
      <c r="I350" s="872">
        <f t="shared" si="87"/>
        <v>266.03333333333353</v>
      </c>
      <c r="J350" s="872">
        <f t="shared" si="87"/>
        <v>275.6722222222225</v>
      </c>
      <c r="K350" s="872">
        <f t="shared" si="87"/>
        <v>231.33333333333346</v>
      </c>
      <c r="L350" s="872">
        <f t="shared" si="87"/>
        <v>246.75555555555559</v>
      </c>
      <c r="M350" s="872">
        <f t="shared" si="87"/>
        <v>256.39444444444456</v>
      </c>
      <c r="N350" s="872">
        <f t="shared" si="87"/>
        <v>173.5</v>
      </c>
      <c r="O350" s="872">
        <f t="shared" si="87"/>
        <v>188.92222222222213</v>
      </c>
      <c r="P350" s="872">
        <f t="shared" si="87"/>
        <v>198.5611111111111</v>
      </c>
      <c r="Q350" s="872">
        <f t="shared" si="87"/>
        <v>163.86111111111103</v>
      </c>
      <c r="R350" s="872">
        <f t="shared" si="87"/>
        <v>179.28333333333316</v>
      </c>
      <c r="S350" s="872">
        <f t="shared" si="87"/>
        <v>188.92222222222213</v>
      </c>
      <c r="T350" s="872">
        <f t="shared" si="87"/>
        <v>154.22222222222206</v>
      </c>
      <c r="U350" s="872">
        <f t="shared" si="89"/>
        <v>169.64444444444456</v>
      </c>
      <c r="V350" s="872">
        <f t="shared" si="89"/>
        <v>179.28333333333316</v>
      </c>
      <c r="W350" s="872">
        <f t="shared" si="89"/>
        <v>144.58333333333346</v>
      </c>
      <c r="X350" s="872">
        <f t="shared" si="89"/>
        <v>160.00555555555559</v>
      </c>
      <c r="Y350" s="872">
        <f t="shared" si="89"/>
        <v>169.64444444444456</v>
      </c>
      <c r="Z350" s="872">
        <f t="shared" si="89"/>
        <v>134.94444444444449</v>
      </c>
      <c r="AA350" s="872">
        <f t="shared" si="89"/>
        <v>150.36666666666662</v>
      </c>
      <c r="AB350" s="872">
        <f t="shared" si="89"/>
        <v>160.00555555555559</v>
      </c>
      <c r="AC350" s="872">
        <f t="shared" si="89"/>
        <v>125.30555555555551</v>
      </c>
      <c r="AD350" s="872">
        <f t="shared" si="89"/>
        <v>140.72777777777765</v>
      </c>
      <c r="AE350" s="872">
        <f t="shared" si="89"/>
        <v>150.36666666666662</v>
      </c>
      <c r="AF350" s="872">
        <f t="shared" si="89"/>
        <v>115.66666666666673</v>
      </c>
      <c r="AG350" s="872">
        <f t="shared" si="89"/>
        <v>131.08888888888904</v>
      </c>
      <c r="AH350" s="872">
        <f t="shared" si="89"/>
        <v>140.72777777777765</v>
      </c>
      <c r="AI350" s="872">
        <f t="shared" si="89"/>
        <v>106.02777777777776</v>
      </c>
      <c r="AJ350" s="872">
        <f t="shared" si="89"/>
        <v>121.45000000000007</v>
      </c>
      <c r="AK350" s="872">
        <f t="shared" si="86"/>
        <v>131.08888888888904</v>
      </c>
    </row>
    <row r="351" spans="1:37" ht="13.5" thickBot="1">
      <c r="A351" s="868"/>
      <c r="B351" s="868"/>
      <c r="C351" s="868"/>
      <c r="D351" s="873">
        <f t="shared" si="82"/>
        <v>0.96666666666666379</v>
      </c>
      <c r="E351" s="872">
        <f t="shared" si="87"/>
        <v>270.66666666666674</v>
      </c>
      <c r="F351" s="872">
        <f t="shared" si="87"/>
        <v>286.13333333333367</v>
      </c>
      <c r="G351" s="872">
        <f t="shared" si="87"/>
        <v>295.79999999999973</v>
      </c>
      <c r="H351" s="872">
        <f t="shared" si="87"/>
        <v>251.33333333333326</v>
      </c>
      <c r="I351" s="872">
        <f t="shared" si="87"/>
        <v>266.80000000000018</v>
      </c>
      <c r="J351" s="872">
        <f t="shared" si="87"/>
        <v>276.46666666666692</v>
      </c>
      <c r="K351" s="872">
        <f t="shared" si="87"/>
        <v>232.00000000000011</v>
      </c>
      <c r="L351" s="872">
        <f t="shared" si="87"/>
        <v>247.4666666666667</v>
      </c>
      <c r="M351" s="872">
        <f t="shared" si="87"/>
        <v>257.13333333333344</v>
      </c>
      <c r="N351" s="872">
        <f t="shared" si="87"/>
        <v>174</v>
      </c>
      <c r="O351" s="872">
        <f t="shared" si="87"/>
        <v>189.46666666666658</v>
      </c>
      <c r="P351" s="872">
        <f t="shared" si="87"/>
        <v>199.13333333333333</v>
      </c>
      <c r="Q351" s="872">
        <f t="shared" si="87"/>
        <v>164.33333333333326</v>
      </c>
      <c r="R351" s="872">
        <f t="shared" si="87"/>
        <v>179.79999999999984</v>
      </c>
      <c r="S351" s="872">
        <f t="shared" si="87"/>
        <v>189.46666666666658</v>
      </c>
      <c r="T351" s="872">
        <f t="shared" si="87"/>
        <v>154.66666666666652</v>
      </c>
      <c r="U351" s="872">
        <f t="shared" si="89"/>
        <v>170.13333333333344</v>
      </c>
      <c r="V351" s="872">
        <f t="shared" si="89"/>
        <v>179.79999999999984</v>
      </c>
      <c r="W351" s="872">
        <f t="shared" si="89"/>
        <v>145.00000000000011</v>
      </c>
      <c r="X351" s="872">
        <f t="shared" si="89"/>
        <v>160.4666666666667</v>
      </c>
      <c r="Y351" s="872">
        <f t="shared" si="89"/>
        <v>170.13333333333344</v>
      </c>
      <c r="Z351" s="872">
        <f t="shared" si="89"/>
        <v>135.33333333333337</v>
      </c>
      <c r="AA351" s="872">
        <f t="shared" si="89"/>
        <v>150.79999999999995</v>
      </c>
      <c r="AB351" s="872">
        <f t="shared" si="89"/>
        <v>160.4666666666667</v>
      </c>
      <c r="AC351" s="872">
        <f t="shared" si="89"/>
        <v>125.66666666666663</v>
      </c>
      <c r="AD351" s="872">
        <f t="shared" si="89"/>
        <v>141.13333333333321</v>
      </c>
      <c r="AE351" s="872">
        <f t="shared" si="89"/>
        <v>150.79999999999995</v>
      </c>
      <c r="AF351" s="872">
        <f t="shared" si="89"/>
        <v>116.00000000000006</v>
      </c>
      <c r="AG351" s="872">
        <f t="shared" si="89"/>
        <v>131.46666666666681</v>
      </c>
      <c r="AH351" s="872">
        <f t="shared" si="89"/>
        <v>141.13333333333321</v>
      </c>
      <c r="AI351" s="872">
        <f t="shared" si="89"/>
        <v>106.33333333333331</v>
      </c>
      <c r="AJ351" s="872">
        <f t="shared" si="89"/>
        <v>121.80000000000007</v>
      </c>
      <c r="AK351" s="872">
        <f t="shared" si="86"/>
        <v>131.46666666666681</v>
      </c>
    </row>
    <row r="352" spans="1:37" ht="13.5" thickBot="1">
      <c r="A352" s="868"/>
      <c r="B352" s="868"/>
      <c r="C352" s="868"/>
      <c r="D352" s="873">
        <f t="shared" si="82"/>
        <v>0.96944444444444156</v>
      </c>
      <c r="E352" s="872">
        <f t="shared" si="87"/>
        <v>271.44444444444451</v>
      </c>
      <c r="F352" s="872">
        <f t="shared" si="87"/>
        <v>286.95555555555586</v>
      </c>
      <c r="G352" s="872">
        <f t="shared" si="87"/>
        <v>296.64999999999975</v>
      </c>
      <c r="H352" s="872">
        <f t="shared" si="87"/>
        <v>252.05555555555549</v>
      </c>
      <c r="I352" s="872">
        <f t="shared" si="87"/>
        <v>267.56666666666683</v>
      </c>
      <c r="J352" s="872">
        <f t="shared" si="87"/>
        <v>277.26111111111135</v>
      </c>
      <c r="K352" s="872">
        <f t="shared" si="87"/>
        <v>232.66666666666677</v>
      </c>
      <c r="L352" s="872">
        <f t="shared" si="87"/>
        <v>248.17777777777781</v>
      </c>
      <c r="M352" s="872">
        <f t="shared" si="87"/>
        <v>257.87222222222232</v>
      </c>
      <c r="N352" s="872">
        <f t="shared" si="87"/>
        <v>174.5</v>
      </c>
      <c r="O352" s="872">
        <f t="shared" si="87"/>
        <v>190.01111111111103</v>
      </c>
      <c r="P352" s="872">
        <f t="shared" si="87"/>
        <v>199.70555555555555</v>
      </c>
      <c r="Q352" s="872">
        <f t="shared" si="87"/>
        <v>164.80555555555549</v>
      </c>
      <c r="R352" s="872">
        <f t="shared" si="87"/>
        <v>180.31666666666652</v>
      </c>
      <c r="S352" s="872">
        <f t="shared" si="87"/>
        <v>190.01111111111103</v>
      </c>
      <c r="T352" s="872">
        <f t="shared" si="87"/>
        <v>155.11111111111097</v>
      </c>
      <c r="U352" s="872">
        <f t="shared" si="89"/>
        <v>170.62222222222232</v>
      </c>
      <c r="V352" s="872">
        <f t="shared" si="89"/>
        <v>180.31666666666652</v>
      </c>
      <c r="W352" s="872">
        <f t="shared" si="89"/>
        <v>145.41666666666677</v>
      </c>
      <c r="X352" s="872">
        <f t="shared" si="89"/>
        <v>160.92777777777781</v>
      </c>
      <c r="Y352" s="872">
        <f t="shared" si="89"/>
        <v>170.62222222222232</v>
      </c>
      <c r="Z352" s="872">
        <f t="shared" si="89"/>
        <v>135.72222222222226</v>
      </c>
      <c r="AA352" s="872">
        <f t="shared" si="89"/>
        <v>151.23333333333329</v>
      </c>
      <c r="AB352" s="872">
        <f t="shared" si="89"/>
        <v>160.92777777777781</v>
      </c>
      <c r="AC352" s="872">
        <f t="shared" si="89"/>
        <v>126.02777777777774</v>
      </c>
      <c r="AD352" s="872">
        <f t="shared" si="89"/>
        <v>141.53888888888878</v>
      </c>
      <c r="AE352" s="872">
        <f t="shared" si="89"/>
        <v>151.23333333333329</v>
      </c>
      <c r="AF352" s="872">
        <f t="shared" si="89"/>
        <v>116.33333333333339</v>
      </c>
      <c r="AG352" s="872">
        <f t="shared" si="89"/>
        <v>131.84444444444458</v>
      </c>
      <c r="AH352" s="872">
        <f t="shared" si="89"/>
        <v>141.53888888888878</v>
      </c>
      <c r="AI352" s="872">
        <f t="shared" si="89"/>
        <v>106.63888888888887</v>
      </c>
      <c r="AJ352" s="872">
        <f t="shared" si="89"/>
        <v>122.15000000000006</v>
      </c>
      <c r="AK352" s="872">
        <f t="shared" si="86"/>
        <v>131.84444444444458</v>
      </c>
    </row>
    <row r="353" spans="1:37" ht="13.5" thickBot="1">
      <c r="A353" s="868"/>
      <c r="B353" s="868"/>
      <c r="C353" s="868"/>
      <c r="D353" s="873">
        <f t="shared" si="82"/>
        <v>0.97222222222221932</v>
      </c>
      <c r="E353" s="872">
        <f t="shared" si="87"/>
        <v>272.22222222222229</v>
      </c>
      <c r="F353" s="872">
        <f t="shared" si="87"/>
        <v>287.77777777777806</v>
      </c>
      <c r="G353" s="872">
        <f t="shared" si="87"/>
        <v>297.49999999999977</v>
      </c>
      <c r="H353" s="872">
        <f t="shared" si="87"/>
        <v>252.77777777777771</v>
      </c>
      <c r="I353" s="872">
        <f t="shared" si="87"/>
        <v>268.33333333333348</v>
      </c>
      <c r="J353" s="872">
        <f t="shared" si="87"/>
        <v>278.05555555555577</v>
      </c>
      <c r="K353" s="872">
        <f t="shared" si="87"/>
        <v>233.33333333333343</v>
      </c>
      <c r="L353" s="872">
        <f t="shared" si="87"/>
        <v>248.88888888888891</v>
      </c>
      <c r="M353" s="872">
        <f t="shared" si="87"/>
        <v>258.6111111111112</v>
      </c>
      <c r="N353" s="872">
        <f t="shared" si="87"/>
        <v>175</v>
      </c>
      <c r="O353" s="872">
        <f t="shared" si="87"/>
        <v>190.55555555555549</v>
      </c>
      <c r="P353" s="872">
        <f t="shared" si="87"/>
        <v>200.27777777777777</v>
      </c>
      <c r="Q353" s="872">
        <f t="shared" si="87"/>
        <v>165.27777777777771</v>
      </c>
      <c r="R353" s="872">
        <f t="shared" si="87"/>
        <v>180.8333333333332</v>
      </c>
      <c r="S353" s="872">
        <f t="shared" si="87"/>
        <v>190.55555555555549</v>
      </c>
      <c r="T353" s="872">
        <f t="shared" si="87"/>
        <v>155.55555555555543</v>
      </c>
      <c r="U353" s="872">
        <f t="shared" si="89"/>
        <v>171.1111111111112</v>
      </c>
      <c r="V353" s="872">
        <f t="shared" si="89"/>
        <v>180.8333333333332</v>
      </c>
      <c r="W353" s="872">
        <f t="shared" si="89"/>
        <v>145.83333333333343</v>
      </c>
      <c r="X353" s="872">
        <f t="shared" si="89"/>
        <v>161.38888888888891</v>
      </c>
      <c r="Y353" s="872">
        <f t="shared" si="89"/>
        <v>171.1111111111112</v>
      </c>
      <c r="Z353" s="872">
        <f t="shared" si="89"/>
        <v>136.11111111111114</v>
      </c>
      <c r="AA353" s="872">
        <f t="shared" si="89"/>
        <v>151.66666666666663</v>
      </c>
      <c r="AB353" s="872">
        <f t="shared" si="89"/>
        <v>161.38888888888891</v>
      </c>
      <c r="AC353" s="872">
        <f t="shared" si="89"/>
        <v>126.38888888888886</v>
      </c>
      <c r="AD353" s="872">
        <f t="shared" si="89"/>
        <v>141.94444444444434</v>
      </c>
      <c r="AE353" s="872">
        <f t="shared" si="89"/>
        <v>151.66666666666663</v>
      </c>
      <c r="AF353" s="872">
        <f t="shared" si="89"/>
        <v>116.66666666666671</v>
      </c>
      <c r="AG353" s="872">
        <f t="shared" si="89"/>
        <v>132.22222222222234</v>
      </c>
      <c r="AH353" s="872">
        <f t="shared" si="89"/>
        <v>141.94444444444434</v>
      </c>
      <c r="AI353" s="872">
        <f t="shared" si="89"/>
        <v>106.94444444444443</v>
      </c>
      <c r="AJ353" s="872">
        <f t="shared" si="89"/>
        <v>122.50000000000006</v>
      </c>
      <c r="AK353" s="872">
        <f t="shared" si="86"/>
        <v>132.22222222222234</v>
      </c>
    </row>
    <row r="354" spans="1:37" ht="13.5" thickBot="1">
      <c r="A354" s="868"/>
      <c r="B354" s="868"/>
      <c r="C354" s="868"/>
      <c r="D354" s="873">
        <f t="shared" si="82"/>
        <v>0.97499999999999709</v>
      </c>
      <c r="E354" s="872">
        <f t="shared" si="87"/>
        <v>273.00000000000006</v>
      </c>
      <c r="F354" s="872">
        <f t="shared" si="87"/>
        <v>288.60000000000025</v>
      </c>
      <c r="G354" s="872">
        <f t="shared" si="87"/>
        <v>298.3499999999998</v>
      </c>
      <c r="H354" s="872">
        <f t="shared" si="87"/>
        <v>253.49999999999994</v>
      </c>
      <c r="I354" s="872">
        <f t="shared" si="87"/>
        <v>269.10000000000014</v>
      </c>
      <c r="J354" s="872">
        <f t="shared" si="87"/>
        <v>278.85000000000019</v>
      </c>
      <c r="K354" s="872">
        <f t="shared" si="87"/>
        <v>234.00000000000009</v>
      </c>
      <c r="L354" s="872">
        <f t="shared" si="87"/>
        <v>249.60000000000002</v>
      </c>
      <c r="M354" s="872">
        <f t="shared" si="87"/>
        <v>259.35000000000008</v>
      </c>
      <c r="N354" s="872">
        <f t="shared" si="87"/>
        <v>175.5</v>
      </c>
      <c r="O354" s="872">
        <f t="shared" si="87"/>
        <v>191.09999999999994</v>
      </c>
      <c r="P354" s="872">
        <f t="shared" si="87"/>
        <v>200.85</v>
      </c>
      <c r="Q354" s="872">
        <f t="shared" si="87"/>
        <v>165.74999999999994</v>
      </c>
      <c r="R354" s="872">
        <f t="shared" si="87"/>
        <v>181.34999999999988</v>
      </c>
      <c r="S354" s="872">
        <f t="shared" si="87"/>
        <v>191.09999999999994</v>
      </c>
      <c r="T354" s="872">
        <f t="shared" si="87"/>
        <v>155.99999999999989</v>
      </c>
      <c r="U354" s="872">
        <f t="shared" si="89"/>
        <v>171.60000000000008</v>
      </c>
      <c r="V354" s="872">
        <f t="shared" si="89"/>
        <v>181.34999999999988</v>
      </c>
      <c r="W354" s="872">
        <f t="shared" si="89"/>
        <v>146.25000000000009</v>
      </c>
      <c r="X354" s="872">
        <f t="shared" si="89"/>
        <v>161.85000000000002</v>
      </c>
      <c r="Y354" s="872">
        <f t="shared" si="89"/>
        <v>171.60000000000008</v>
      </c>
      <c r="Z354" s="872">
        <f t="shared" si="89"/>
        <v>136.50000000000003</v>
      </c>
      <c r="AA354" s="872">
        <f t="shared" si="89"/>
        <v>152.09999999999997</v>
      </c>
      <c r="AB354" s="872">
        <f t="shared" si="89"/>
        <v>161.85000000000002</v>
      </c>
      <c r="AC354" s="872">
        <f t="shared" si="89"/>
        <v>126.74999999999997</v>
      </c>
      <c r="AD354" s="872">
        <f t="shared" si="89"/>
        <v>142.34999999999991</v>
      </c>
      <c r="AE354" s="872">
        <f t="shared" si="89"/>
        <v>152.09999999999997</v>
      </c>
      <c r="AF354" s="872">
        <f t="shared" si="89"/>
        <v>117.00000000000004</v>
      </c>
      <c r="AG354" s="872">
        <f t="shared" si="89"/>
        <v>132.60000000000011</v>
      </c>
      <c r="AH354" s="872">
        <f t="shared" si="89"/>
        <v>142.34999999999991</v>
      </c>
      <c r="AI354" s="872">
        <f t="shared" si="89"/>
        <v>107.24999999999999</v>
      </c>
      <c r="AJ354" s="872">
        <f t="shared" si="89"/>
        <v>122.85000000000005</v>
      </c>
      <c r="AK354" s="872">
        <f t="shared" si="86"/>
        <v>132.60000000000011</v>
      </c>
    </row>
    <row r="355" spans="1:37" ht="13.5" thickBot="1">
      <c r="A355" s="868"/>
      <c r="B355" s="868"/>
      <c r="C355" s="868"/>
      <c r="D355" s="873">
        <f t="shared" si="82"/>
        <v>0.97777777777777486</v>
      </c>
      <c r="E355" s="872">
        <f t="shared" si="87"/>
        <v>273.77777777777783</v>
      </c>
      <c r="F355" s="872">
        <f t="shared" si="87"/>
        <v>289.42222222222244</v>
      </c>
      <c r="G355" s="872">
        <f t="shared" si="87"/>
        <v>299.19999999999982</v>
      </c>
      <c r="H355" s="872">
        <f t="shared" si="87"/>
        <v>254.22222222222217</v>
      </c>
      <c r="I355" s="872">
        <f t="shared" si="87"/>
        <v>269.86666666666679</v>
      </c>
      <c r="J355" s="872">
        <f t="shared" si="87"/>
        <v>279.64444444444462</v>
      </c>
      <c r="K355" s="872">
        <f t="shared" si="87"/>
        <v>234.66666666666674</v>
      </c>
      <c r="L355" s="872">
        <f t="shared" si="87"/>
        <v>250.31111111111113</v>
      </c>
      <c r="M355" s="872">
        <f t="shared" si="87"/>
        <v>260.08888888888896</v>
      </c>
      <c r="N355" s="872">
        <f t="shared" si="87"/>
        <v>176</v>
      </c>
      <c r="O355" s="872">
        <f t="shared" si="87"/>
        <v>191.64444444444439</v>
      </c>
      <c r="P355" s="872">
        <f t="shared" si="87"/>
        <v>201.42222222222222</v>
      </c>
      <c r="Q355" s="872">
        <f t="shared" si="87"/>
        <v>166.22222222222217</v>
      </c>
      <c r="R355" s="872">
        <f t="shared" si="87"/>
        <v>181.86666666666656</v>
      </c>
      <c r="S355" s="872">
        <f t="shared" si="87"/>
        <v>191.64444444444439</v>
      </c>
      <c r="T355" s="872">
        <f t="shared" si="87"/>
        <v>156.44444444444434</v>
      </c>
      <c r="U355" s="872">
        <f t="shared" si="89"/>
        <v>172.08888888888896</v>
      </c>
      <c r="V355" s="872">
        <f t="shared" si="89"/>
        <v>181.86666666666656</v>
      </c>
      <c r="W355" s="872">
        <f t="shared" si="89"/>
        <v>146.66666666666674</v>
      </c>
      <c r="X355" s="872">
        <f t="shared" si="89"/>
        <v>162.31111111111113</v>
      </c>
      <c r="Y355" s="872">
        <f t="shared" si="89"/>
        <v>172.08888888888896</v>
      </c>
      <c r="Z355" s="872">
        <f t="shared" si="89"/>
        <v>136.88888888888891</v>
      </c>
      <c r="AA355" s="872">
        <f t="shared" si="89"/>
        <v>152.5333333333333</v>
      </c>
      <c r="AB355" s="872">
        <f t="shared" si="89"/>
        <v>162.31111111111113</v>
      </c>
      <c r="AC355" s="872">
        <f t="shared" si="89"/>
        <v>127.11111111111109</v>
      </c>
      <c r="AD355" s="872">
        <f t="shared" si="89"/>
        <v>142.75555555555547</v>
      </c>
      <c r="AE355" s="872">
        <f t="shared" si="89"/>
        <v>152.5333333333333</v>
      </c>
      <c r="AF355" s="872">
        <f t="shared" si="89"/>
        <v>117.33333333333337</v>
      </c>
      <c r="AG355" s="872">
        <f t="shared" si="89"/>
        <v>132.97777777777787</v>
      </c>
      <c r="AH355" s="872">
        <f t="shared" si="89"/>
        <v>142.75555555555547</v>
      </c>
      <c r="AI355" s="872">
        <f t="shared" si="89"/>
        <v>107.55555555555554</v>
      </c>
      <c r="AJ355" s="872">
        <f t="shared" si="89"/>
        <v>123.20000000000005</v>
      </c>
      <c r="AK355" s="872">
        <f t="shared" si="86"/>
        <v>132.97777777777787</v>
      </c>
    </row>
    <row r="356" spans="1:37" ht="13.5" thickBot="1">
      <c r="A356" s="868"/>
      <c r="B356" s="868"/>
      <c r="C356" s="868"/>
      <c r="D356" s="873">
        <f t="shared" si="82"/>
        <v>0.98055555555555263</v>
      </c>
      <c r="E356" s="872">
        <f t="shared" si="87"/>
        <v>274.5555555555556</v>
      </c>
      <c r="F356" s="872">
        <f t="shared" si="87"/>
        <v>290.24444444444464</v>
      </c>
      <c r="G356" s="872">
        <f t="shared" si="87"/>
        <v>300.04999999999984</v>
      </c>
      <c r="H356" s="872">
        <f t="shared" si="87"/>
        <v>254.9444444444444</v>
      </c>
      <c r="I356" s="872">
        <f t="shared" si="87"/>
        <v>270.63333333333344</v>
      </c>
      <c r="J356" s="872">
        <f t="shared" si="87"/>
        <v>280.43888888888904</v>
      </c>
      <c r="K356" s="872">
        <f t="shared" si="87"/>
        <v>235.3333333333334</v>
      </c>
      <c r="L356" s="872">
        <f t="shared" si="87"/>
        <v>251.02222222222224</v>
      </c>
      <c r="M356" s="872">
        <f t="shared" si="87"/>
        <v>260.82777777777784</v>
      </c>
      <c r="N356" s="872">
        <f t="shared" si="87"/>
        <v>176.5</v>
      </c>
      <c r="O356" s="872">
        <f t="shared" si="87"/>
        <v>192.18888888888884</v>
      </c>
      <c r="P356" s="872">
        <f t="shared" si="87"/>
        <v>201.99444444444444</v>
      </c>
      <c r="Q356" s="872">
        <f t="shared" si="87"/>
        <v>166.6944444444444</v>
      </c>
      <c r="R356" s="872">
        <f t="shared" si="87"/>
        <v>182.38333333333324</v>
      </c>
      <c r="S356" s="872">
        <f t="shared" si="87"/>
        <v>192.18888888888884</v>
      </c>
      <c r="T356" s="872">
        <f t="shared" si="87"/>
        <v>156.8888888888888</v>
      </c>
      <c r="U356" s="872">
        <f t="shared" si="89"/>
        <v>172.57777777777784</v>
      </c>
      <c r="V356" s="872">
        <f t="shared" si="89"/>
        <v>182.38333333333324</v>
      </c>
      <c r="W356" s="872">
        <f t="shared" si="89"/>
        <v>147.0833333333334</v>
      </c>
      <c r="X356" s="872">
        <f t="shared" si="89"/>
        <v>162.77222222222224</v>
      </c>
      <c r="Y356" s="872">
        <f t="shared" si="89"/>
        <v>172.57777777777784</v>
      </c>
      <c r="Z356" s="872">
        <f t="shared" si="89"/>
        <v>137.2777777777778</v>
      </c>
      <c r="AA356" s="872">
        <f t="shared" si="89"/>
        <v>152.96666666666664</v>
      </c>
      <c r="AB356" s="872">
        <f t="shared" si="89"/>
        <v>162.77222222222224</v>
      </c>
      <c r="AC356" s="872">
        <f t="shared" si="89"/>
        <v>127.4722222222222</v>
      </c>
      <c r="AD356" s="872">
        <f t="shared" si="89"/>
        <v>143.16111111111104</v>
      </c>
      <c r="AE356" s="872">
        <f t="shared" si="89"/>
        <v>152.96666666666664</v>
      </c>
      <c r="AF356" s="872">
        <f t="shared" si="89"/>
        <v>117.6666666666667</v>
      </c>
      <c r="AG356" s="872">
        <f t="shared" si="89"/>
        <v>133.35555555555564</v>
      </c>
      <c r="AH356" s="872">
        <f t="shared" si="89"/>
        <v>143.16111111111104</v>
      </c>
      <c r="AI356" s="872">
        <f t="shared" si="89"/>
        <v>107.8611111111111</v>
      </c>
      <c r="AJ356" s="872">
        <f t="shared" si="89"/>
        <v>123.55000000000004</v>
      </c>
      <c r="AK356" s="872">
        <f t="shared" si="86"/>
        <v>133.35555555555564</v>
      </c>
    </row>
    <row r="357" spans="1:37" ht="13.5" thickBot="1">
      <c r="A357" s="868"/>
      <c r="B357" s="868"/>
      <c r="C357" s="868"/>
      <c r="D357" s="873">
        <f t="shared" si="82"/>
        <v>0.98333333333333039</v>
      </c>
      <c r="E357" s="872">
        <f t="shared" si="87"/>
        <v>275.33333333333337</v>
      </c>
      <c r="F357" s="872">
        <f t="shared" si="87"/>
        <v>291.06666666666683</v>
      </c>
      <c r="G357" s="872">
        <f t="shared" si="87"/>
        <v>300.89999999999986</v>
      </c>
      <c r="H357" s="872">
        <f t="shared" si="87"/>
        <v>255.66666666666663</v>
      </c>
      <c r="I357" s="872">
        <f t="shared" si="87"/>
        <v>271.40000000000009</v>
      </c>
      <c r="J357" s="872">
        <f t="shared" si="87"/>
        <v>281.23333333333346</v>
      </c>
      <c r="K357" s="872">
        <f t="shared" si="87"/>
        <v>236.00000000000006</v>
      </c>
      <c r="L357" s="872">
        <f t="shared" si="87"/>
        <v>251.73333333333335</v>
      </c>
      <c r="M357" s="872">
        <f t="shared" si="87"/>
        <v>261.56666666666672</v>
      </c>
      <c r="N357" s="872">
        <f t="shared" si="87"/>
        <v>177</v>
      </c>
      <c r="O357" s="872">
        <f t="shared" si="87"/>
        <v>192.73333333333329</v>
      </c>
      <c r="P357" s="872">
        <f t="shared" si="87"/>
        <v>202.56666666666666</v>
      </c>
      <c r="Q357" s="872">
        <f t="shared" si="87"/>
        <v>167.16666666666663</v>
      </c>
      <c r="R357" s="872">
        <f t="shared" si="87"/>
        <v>182.89999999999992</v>
      </c>
      <c r="S357" s="872">
        <f t="shared" si="87"/>
        <v>192.73333333333329</v>
      </c>
      <c r="T357" s="872">
        <f t="shared" si="87"/>
        <v>157.33333333333326</v>
      </c>
      <c r="U357" s="872">
        <f t="shared" si="89"/>
        <v>173.06666666666672</v>
      </c>
      <c r="V357" s="872">
        <f t="shared" si="89"/>
        <v>182.89999999999992</v>
      </c>
      <c r="W357" s="872">
        <f t="shared" si="89"/>
        <v>147.50000000000006</v>
      </c>
      <c r="X357" s="872">
        <f t="shared" si="89"/>
        <v>163.23333333333335</v>
      </c>
      <c r="Y357" s="872">
        <f t="shared" si="89"/>
        <v>173.06666666666672</v>
      </c>
      <c r="Z357" s="872">
        <f t="shared" si="89"/>
        <v>137.66666666666669</v>
      </c>
      <c r="AA357" s="872">
        <f t="shared" si="89"/>
        <v>153.39999999999998</v>
      </c>
      <c r="AB357" s="872">
        <f t="shared" si="89"/>
        <v>163.23333333333335</v>
      </c>
      <c r="AC357" s="872">
        <f t="shared" si="89"/>
        <v>127.83333333333331</v>
      </c>
      <c r="AD357" s="872">
        <f t="shared" si="89"/>
        <v>143.56666666666661</v>
      </c>
      <c r="AE357" s="872">
        <f t="shared" si="89"/>
        <v>153.39999999999998</v>
      </c>
      <c r="AF357" s="872">
        <f t="shared" si="89"/>
        <v>118.00000000000003</v>
      </c>
      <c r="AG357" s="872">
        <f t="shared" si="89"/>
        <v>133.73333333333341</v>
      </c>
      <c r="AH357" s="872">
        <f t="shared" si="89"/>
        <v>143.56666666666661</v>
      </c>
      <c r="AI357" s="872">
        <f t="shared" si="89"/>
        <v>108.16666666666666</v>
      </c>
      <c r="AJ357" s="872">
        <f t="shared" si="89"/>
        <v>123.90000000000003</v>
      </c>
      <c r="AK357" s="872">
        <f t="shared" si="86"/>
        <v>133.73333333333341</v>
      </c>
    </row>
    <row r="358" spans="1:37" ht="13.5" thickBot="1">
      <c r="A358" s="868"/>
      <c r="B358" s="868"/>
      <c r="C358" s="868"/>
      <c r="D358" s="873">
        <f t="shared" si="82"/>
        <v>0.98611111111110816</v>
      </c>
      <c r="E358" s="872">
        <f t="shared" si="87"/>
        <v>276.11111111111114</v>
      </c>
      <c r="F358" s="872">
        <f t="shared" si="87"/>
        <v>291.88888888888903</v>
      </c>
      <c r="G358" s="872">
        <f t="shared" si="87"/>
        <v>301.74999999999989</v>
      </c>
      <c r="H358" s="872">
        <f t="shared" si="87"/>
        <v>256.38888888888886</v>
      </c>
      <c r="I358" s="872">
        <f t="shared" si="87"/>
        <v>272.16666666666674</v>
      </c>
      <c r="J358" s="872">
        <f t="shared" si="87"/>
        <v>282.02777777777789</v>
      </c>
      <c r="K358" s="872">
        <f t="shared" si="87"/>
        <v>236.66666666666671</v>
      </c>
      <c r="L358" s="872">
        <f t="shared" si="87"/>
        <v>252.44444444444446</v>
      </c>
      <c r="M358" s="872">
        <f t="shared" si="87"/>
        <v>262.3055555555556</v>
      </c>
      <c r="N358" s="872">
        <f t="shared" si="87"/>
        <v>177.5</v>
      </c>
      <c r="O358" s="872">
        <f t="shared" si="87"/>
        <v>193.27777777777774</v>
      </c>
      <c r="P358" s="872">
        <f t="shared" si="87"/>
        <v>203.13888888888889</v>
      </c>
      <c r="Q358" s="872">
        <f t="shared" si="87"/>
        <v>167.63888888888886</v>
      </c>
      <c r="R358" s="872">
        <f t="shared" si="87"/>
        <v>183.4166666666666</v>
      </c>
      <c r="S358" s="872">
        <f t="shared" si="87"/>
        <v>193.27777777777774</v>
      </c>
      <c r="T358" s="872">
        <f t="shared" si="87"/>
        <v>157.77777777777771</v>
      </c>
      <c r="U358" s="872">
        <f t="shared" si="89"/>
        <v>173.5555555555556</v>
      </c>
      <c r="V358" s="872">
        <f t="shared" si="89"/>
        <v>183.4166666666666</v>
      </c>
      <c r="W358" s="872">
        <f t="shared" si="89"/>
        <v>147.91666666666671</v>
      </c>
      <c r="X358" s="872">
        <f t="shared" si="89"/>
        <v>163.69444444444446</v>
      </c>
      <c r="Y358" s="872">
        <f t="shared" si="89"/>
        <v>173.5555555555556</v>
      </c>
      <c r="Z358" s="872">
        <f t="shared" si="89"/>
        <v>138.05555555555557</v>
      </c>
      <c r="AA358" s="872">
        <f t="shared" si="89"/>
        <v>153.83333333333331</v>
      </c>
      <c r="AB358" s="872">
        <f t="shared" si="89"/>
        <v>163.69444444444446</v>
      </c>
      <c r="AC358" s="872">
        <f t="shared" si="89"/>
        <v>128.19444444444443</v>
      </c>
      <c r="AD358" s="872">
        <f t="shared" si="89"/>
        <v>143.97222222222217</v>
      </c>
      <c r="AE358" s="872">
        <f t="shared" si="89"/>
        <v>153.83333333333331</v>
      </c>
      <c r="AF358" s="872">
        <f t="shared" si="89"/>
        <v>118.33333333333336</v>
      </c>
      <c r="AG358" s="872">
        <f t="shared" si="89"/>
        <v>134.11111111111117</v>
      </c>
      <c r="AH358" s="872">
        <f t="shared" si="89"/>
        <v>143.97222222222217</v>
      </c>
      <c r="AI358" s="872">
        <f t="shared" si="89"/>
        <v>108.47222222222221</v>
      </c>
      <c r="AJ358" s="872">
        <f t="shared" si="89"/>
        <v>124.25000000000003</v>
      </c>
      <c r="AK358" s="872">
        <f t="shared" si="86"/>
        <v>134.11111111111117</v>
      </c>
    </row>
    <row r="359" spans="1:37" ht="13.5" thickBot="1">
      <c r="A359" s="868"/>
      <c r="B359" s="868"/>
      <c r="C359" s="868"/>
      <c r="D359" s="873">
        <f t="shared" si="82"/>
        <v>0.98888888888888593</v>
      </c>
      <c r="E359" s="872">
        <f t="shared" si="87"/>
        <v>276.88888888888891</v>
      </c>
      <c r="F359" s="872">
        <f t="shared" si="87"/>
        <v>292.71111111111122</v>
      </c>
      <c r="G359" s="872">
        <f t="shared" si="87"/>
        <v>302.59999999999991</v>
      </c>
      <c r="H359" s="872">
        <f t="shared" si="87"/>
        <v>257.11111111111109</v>
      </c>
      <c r="I359" s="872">
        <f t="shared" si="87"/>
        <v>272.93333333333339</v>
      </c>
      <c r="J359" s="872">
        <f t="shared" si="87"/>
        <v>282.82222222222231</v>
      </c>
      <c r="K359" s="872">
        <f t="shared" si="87"/>
        <v>237.33333333333337</v>
      </c>
      <c r="L359" s="872">
        <f t="shared" si="87"/>
        <v>253.15555555555557</v>
      </c>
      <c r="M359" s="872">
        <f t="shared" si="87"/>
        <v>263.04444444444448</v>
      </c>
      <c r="N359" s="872">
        <f t="shared" si="87"/>
        <v>178</v>
      </c>
      <c r="O359" s="872">
        <f t="shared" si="87"/>
        <v>193.82222222222219</v>
      </c>
      <c r="P359" s="872">
        <f t="shared" si="87"/>
        <v>203.71111111111111</v>
      </c>
      <c r="Q359" s="872">
        <f t="shared" si="87"/>
        <v>168.11111111111109</v>
      </c>
      <c r="R359" s="872">
        <f t="shared" si="87"/>
        <v>183.93333333333328</v>
      </c>
      <c r="S359" s="872">
        <f t="shared" si="87"/>
        <v>193.82222222222219</v>
      </c>
      <c r="T359" s="872">
        <f t="shared" si="87"/>
        <v>158.22222222222217</v>
      </c>
      <c r="U359" s="872">
        <f t="shared" si="89"/>
        <v>174.04444444444448</v>
      </c>
      <c r="V359" s="872">
        <f t="shared" si="89"/>
        <v>183.93333333333328</v>
      </c>
      <c r="W359" s="872">
        <f t="shared" si="89"/>
        <v>148.33333333333337</v>
      </c>
      <c r="X359" s="872">
        <f t="shared" si="89"/>
        <v>164.15555555555557</v>
      </c>
      <c r="Y359" s="872">
        <f t="shared" si="89"/>
        <v>174.04444444444448</v>
      </c>
      <c r="Z359" s="872">
        <f t="shared" si="89"/>
        <v>138.44444444444446</v>
      </c>
      <c r="AA359" s="872">
        <f t="shared" si="89"/>
        <v>154.26666666666665</v>
      </c>
      <c r="AB359" s="872">
        <f t="shared" si="89"/>
        <v>164.15555555555557</v>
      </c>
      <c r="AC359" s="872">
        <f t="shared" si="89"/>
        <v>128.55555555555554</v>
      </c>
      <c r="AD359" s="872">
        <f t="shared" si="89"/>
        <v>144.37777777777774</v>
      </c>
      <c r="AE359" s="872">
        <f t="shared" si="89"/>
        <v>154.26666666666665</v>
      </c>
      <c r="AF359" s="872">
        <f t="shared" si="89"/>
        <v>118.66666666666669</v>
      </c>
      <c r="AG359" s="872">
        <f t="shared" si="89"/>
        <v>134.48888888888894</v>
      </c>
      <c r="AH359" s="872">
        <f t="shared" si="89"/>
        <v>144.37777777777774</v>
      </c>
      <c r="AI359" s="872">
        <f t="shared" si="89"/>
        <v>108.77777777777777</v>
      </c>
      <c r="AJ359" s="872">
        <f t="shared" si="89"/>
        <v>124.60000000000002</v>
      </c>
      <c r="AK359" s="872">
        <f t="shared" si="86"/>
        <v>134.48888888888894</v>
      </c>
    </row>
    <row r="360" spans="1:37" ht="13.5" thickBot="1">
      <c r="A360" s="868"/>
      <c r="B360" s="868"/>
      <c r="C360" s="868"/>
      <c r="D360" s="873">
        <f t="shared" si="82"/>
        <v>0.9916666666666637</v>
      </c>
      <c r="E360" s="872">
        <f t="shared" si="87"/>
        <v>277.66666666666669</v>
      </c>
      <c r="F360" s="872">
        <f t="shared" si="87"/>
        <v>293.53333333333342</v>
      </c>
      <c r="G360" s="872">
        <f t="shared" si="87"/>
        <v>303.44999999999993</v>
      </c>
      <c r="H360" s="872">
        <f t="shared" si="87"/>
        <v>257.83333333333331</v>
      </c>
      <c r="I360" s="872">
        <f t="shared" si="87"/>
        <v>273.70000000000005</v>
      </c>
      <c r="J360" s="872">
        <f t="shared" si="87"/>
        <v>283.61666666666673</v>
      </c>
      <c r="K360" s="872">
        <f t="shared" si="87"/>
        <v>238.00000000000003</v>
      </c>
      <c r="L360" s="872">
        <f t="shared" si="87"/>
        <v>253.86666666666667</v>
      </c>
      <c r="M360" s="872">
        <f t="shared" si="87"/>
        <v>263.78333333333336</v>
      </c>
      <c r="N360" s="872">
        <f t="shared" si="87"/>
        <v>178.5</v>
      </c>
      <c r="O360" s="872">
        <f t="shared" si="87"/>
        <v>194.36666666666665</v>
      </c>
      <c r="P360" s="872">
        <f t="shared" si="87"/>
        <v>204.28333333333333</v>
      </c>
      <c r="Q360" s="872">
        <f t="shared" si="87"/>
        <v>168.58333333333331</v>
      </c>
      <c r="R360" s="872">
        <f t="shared" si="87"/>
        <v>184.44999999999996</v>
      </c>
      <c r="S360" s="872">
        <f t="shared" si="87"/>
        <v>194.36666666666665</v>
      </c>
      <c r="T360" s="872">
        <f t="shared" si="87"/>
        <v>158.66666666666663</v>
      </c>
      <c r="U360" s="872">
        <f t="shared" si="89"/>
        <v>174.53333333333336</v>
      </c>
      <c r="V360" s="872">
        <f t="shared" si="89"/>
        <v>184.44999999999996</v>
      </c>
      <c r="W360" s="872">
        <f t="shared" si="89"/>
        <v>148.75000000000003</v>
      </c>
      <c r="X360" s="872">
        <f t="shared" si="89"/>
        <v>164.61666666666667</v>
      </c>
      <c r="Y360" s="872">
        <f t="shared" si="89"/>
        <v>174.53333333333336</v>
      </c>
      <c r="Z360" s="872">
        <f t="shared" si="89"/>
        <v>138.83333333333334</v>
      </c>
      <c r="AA360" s="872">
        <f t="shared" si="89"/>
        <v>154.69999999999999</v>
      </c>
      <c r="AB360" s="872">
        <f t="shared" si="89"/>
        <v>164.61666666666667</v>
      </c>
      <c r="AC360" s="872">
        <f t="shared" si="89"/>
        <v>128.91666666666666</v>
      </c>
      <c r="AD360" s="872">
        <f t="shared" si="89"/>
        <v>144.7833333333333</v>
      </c>
      <c r="AE360" s="872">
        <f t="shared" si="89"/>
        <v>154.69999999999999</v>
      </c>
      <c r="AF360" s="872">
        <f t="shared" si="89"/>
        <v>119.00000000000001</v>
      </c>
      <c r="AG360" s="872">
        <f t="shared" si="89"/>
        <v>134.8666666666667</v>
      </c>
      <c r="AH360" s="872">
        <f t="shared" si="89"/>
        <v>144.7833333333333</v>
      </c>
      <c r="AI360" s="872">
        <f t="shared" si="89"/>
        <v>109.08333333333333</v>
      </c>
      <c r="AJ360" s="872">
        <f t="shared" si="89"/>
        <v>124.95000000000002</v>
      </c>
      <c r="AK360" s="872">
        <f t="shared" si="86"/>
        <v>134.8666666666667</v>
      </c>
    </row>
    <row r="361" spans="1:37" ht="13.5" thickBot="1">
      <c r="A361" s="868"/>
      <c r="B361" s="868"/>
      <c r="C361" s="868"/>
      <c r="D361" s="873">
        <f t="shared" si="82"/>
        <v>0.99444444444444147</v>
      </c>
      <c r="E361" s="872">
        <f t="shared" si="87"/>
        <v>278.44444444444446</v>
      </c>
      <c r="F361" s="872">
        <f t="shared" si="87"/>
        <v>294.35555555555561</v>
      </c>
      <c r="G361" s="872">
        <f t="shared" si="87"/>
        <v>304.29999999999995</v>
      </c>
      <c r="H361" s="872">
        <f t="shared" si="87"/>
        <v>258.55555555555554</v>
      </c>
      <c r="I361" s="872">
        <f t="shared" si="87"/>
        <v>274.4666666666667</v>
      </c>
      <c r="J361" s="872">
        <f t="shared" si="87"/>
        <v>284.41111111111115</v>
      </c>
      <c r="K361" s="872">
        <f t="shared" si="87"/>
        <v>238.66666666666669</v>
      </c>
      <c r="L361" s="872">
        <f t="shared" si="87"/>
        <v>254.57777777777778</v>
      </c>
      <c r="M361" s="872">
        <f t="shared" si="87"/>
        <v>264.52222222222224</v>
      </c>
      <c r="N361" s="872">
        <f t="shared" si="87"/>
        <v>179</v>
      </c>
      <c r="O361" s="872">
        <f t="shared" si="87"/>
        <v>194.9111111111111</v>
      </c>
      <c r="P361" s="872">
        <f t="shared" si="87"/>
        <v>204.85555555555555</v>
      </c>
      <c r="Q361" s="872">
        <f t="shared" si="87"/>
        <v>169.05555555555554</v>
      </c>
      <c r="R361" s="872">
        <f t="shared" si="87"/>
        <v>184.96666666666664</v>
      </c>
      <c r="S361" s="872">
        <f t="shared" si="87"/>
        <v>194.9111111111111</v>
      </c>
      <c r="T361" s="872">
        <f t="shared" si="87"/>
        <v>159.11111111111109</v>
      </c>
      <c r="U361" s="872">
        <f t="shared" si="89"/>
        <v>175.02222222222224</v>
      </c>
      <c r="V361" s="872">
        <f t="shared" si="89"/>
        <v>184.96666666666664</v>
      </c>
      <c r="W361" s="872">
        <f t="shared" si="89"/>
        <v>149.16666666666669</v>
      </c>
      <c r="X361" s="872">
        <f t="shared" si="89"/>
        <v>165.07777777777778</v>
      </c>
      <c r="Y361" s="872">
        <f t="shared" si="89"/>
        <v>175.02222222222224</v>
      </c>
      <c r="Z361" s="872">
        <f t="shared" si="89"/>
        <v>139.22222222222223</v>
      </c>
      <c r="AA361" s="872">
        <f t="shared" si="89"/>
        <v>155.13333333333333</v>
      </c>
      <c r="AB361" s="872">
        <f t="shared" si="89"/>
        <v>165.07777777777778</v>
      </c>
      <c r="AC361" s="872">
        <f t="shared" si="89"/>
        <v>129.27777777777777</v>
      </c>
      <c r="AD361" s="872">
        <f t="shared" si="89"/>
        <v>145.18888888888887</v>
      </c>
      <c r="AE361" s="872">
        <f t="shared" si="89"/>
        <v>155.13333333333333</v>
      </c>
      <c r="AF361" s="872">
        <f t="shared" si="89"/>
        <v>119.33333333333334</v>
      </c>
      <c r="AG361" s="872">
        <f t="shared" si="89"/>
        <v>135.24444444444447</v>
      </c>
      <c r="AH361" s="872">
        <f t="shared" si="89"/>
        <v>145.18888888888887</v>
      </c>
      <c r="AI361" s="872">
        <f t="shared" si="89"/>
        <v>109.38888888888889</v>
      </c>
      <c r="AJ361" s="872">
        <f t="shared" si="89"/>
        <v>125.30000000000001</v>
      </c>
      <c r="AK361" s="872">
        <f t="shared" si="86"/>
        <v>135.24444444444447</v>
      </c>
    </row>
    <row r="362" spans="1:37" ht="13.5" thickBot="1">
      <c r="A362" s="868"/>
      <c r="B362" s="868"/>
      <c r="C362" s="868"/>
      <c r="D362" s="873">
        <f t="shared" si="82"/>
        <v>0.99722222222221923</v>
      </c>
      <c r="E362" s="872">
        <f t="shared" si="87"/>
        <v>279.22222222222223</v>
      </c>
      <c r="F362" s="872">
        <f t="shared" si="87"/>
        <v>295.17777777777781</v>
      </c>
      <c r="G362" s="872">
        <f t="shared" si="87"/>
        <v>305.14999999999998</v>
      </c>
      <c r="H362" s="872">
        <f t="shared" si="87"/>
        <v>259.27777777777777</v>
      </c>
      <c r="I362" s="872">
        <f t="shared" si="87"/>
        <v>275.23333333333335</v>
      </c>
      <c r="J362" s="872">
        <f t="shared" si="87"/>
        <v>285.20555555555558</v>
      </c>
      <c r="K362" s="872">
        <f t="shared" si="87"/>
        <v>239.33333333333334</v>
      </c>
      <c r="L362" s="872">
        <f t="shared" si="87"/>
        <v>255.28888888888889</v>
      </c>
      <c r="M362" s="872">
        <f t="shared" si="87"/>
        <v>265.26111111111112</v>
      </c>
      <c r="N362" s="872">
        <f t="shared" si="87"/>
        <v>179.5</v>
      </c>
      <c r="O362" s="872">
        <f t="shared" si="87"/>
        <v>195.45555555555555</v>
      </c>
      <c r="P362" s="872">
        <f t="shared" si="87"/>
        <v>205.42777777777778</v>
      </c>
      <c r="Q362" s="872">
        <f t="shared" si="87"/>
        <v>169.52777777777777</v>
      </c>
      <c r="R362" s="872">
        <f t="shared" si="87"/>
        <v>185.48333333333332</v>
      </c>
      <c r="S362" s="872">
        <f t="shared" si="87"/>
        <v>195.45555555555555</v>
      </c>
      <c r="T362" s="872">
        <f>T363-(T$363/360)</f>
        <v>159.55555555555554</v>
      </c>
      <c r="U362" s="872">
        <f>U363-(U$363/360)</f>
        <v>175.51111111111112</v>
      </c>
      <c r="V362" s="872">
        <f>V363-(V$363/360)</f>
        <v>185.48333333333332</v>
      </c>
      <c r="W362" s="872">
        <f>W363-(W$363/360)</f>
        <v>149.58333333333334</v>
      </c>
      <c r="X362" s="872">
        <f t="shared" si="89"/>
        <v>165.53888888888889</v>
      </c>
      <c r="Y362" s="872">
        <f t="shared" si="89"/>
        <v>175.51111111111112</v>
      </c>
      <c r="Z362" s="872">
        <f t="shared" si="89"/>
        <v>139.61111111111111</v>
      </c>
      <c r="AA362" s="872">
        <f t="shared" si="89"/>
        <v>155.56666666666666</v>
      </c>
      <c r="AB362" s="872">
        <f t="shared" si="89"/>
        <v>165.53888888888889</v>
      </c>
      <c r="AC362" s="872">
        <f t="shared" si="89"/>
        <v>129.63888888888889</v>
      </c>
      <c r="AD362" s="872">
        <f t="shared" si="89"/>
        <v>145.59444444444443</v>
      </c>
      <c r="AE362" s="872">
        <f t="shared" si="89"/>
        <v>155.56666666666666</v>
      </c>
      <c r="AF362" s="872">
        <f t="shared" si="89"/>
        <v>119.66666666666667</v>
      </c>
      <c r="AG362" s="872">
        <f t="shared" si="89"/>
        <v>135.62222222222223</v>
      </c>
      <c r="AH362" s="872">
        <f t="shared" si="89"/>
        <v>145.59444444444443</v>
      </c>
      <c r="AI362" s="872">
        <f t="shared" si="89"/>
        <v>109.69444444444444</v>
      </c>
      <c r="AJ362" s="872">
        <f t="shared" si="89"/>
        <v>125.65</v>
      </c>
      <c r="AK362" s="872">
        <f t="shared" si="86"/>
        <v>135.62222222222223</v>
      </c>
    </row>
    <row r="363" spans="1:37" ht="13.5" thickBot="1">
      <c r="A363" s="868"/>
      <c r="B363" s="868"/>
      <c r="C363" s="868"/>
      <c r="D363" s="873">
        <f t="shared" si="82"/>
        <v>0.999999999999997</v>
      </c>
      <c r="E363" s="869">
        <f>B1+B2</f>
        <v>280</v>
      </c>
      <c r="F363" s="869">
        <f>E363+10+B3</f>
        <v>296</v>
      </c>
      <c r="G363" s="869">
        <f>F363+10</f>
        <v>306</v>
      </c>
      <c r="H363" s="869">
        <f t="shared" ref="H363:M363" si="90">E363-20</f>
        <v>260</v>
      </c>
      <c r="I363" s="869">
        <f t="shared" si="90"/>
        <v>276</v>
      </c>
      <c r="J363" s="869">
        <f t="shared" si="90"/>
        <v>286</v>
      </c>
      <c r="K363" s="869">
        <f t="shared" si="90"/>
        <v>240</v>
      </c>
      <c r="L363" s="869">
        <f t="shared" si="90"/>
        <v>256</v>
      </c>
      <c r="M363" s="869">
        <f t="shared" si="90"/>
        <v>266</v>
      </c>
      <c r="N363" s="869">
        <f>180+B2</f>
        <v>180</v>
      </c>
      <c r="O363" s="869">
        <f>N363+B3+10</f>
        <v>196</v>
      </c>
      <c r="P363" s="869">
        <f>O363+10</f>
        <v>206</v>
      </c>
      <c r="Q363" s="869">
        <f>N363-10</f>
        <v>170</v>
      </c>
      <c r="R363" s="869">
        <f>O363-10</f>
        <v>186</v>
      </c>
      <c r="S363" s="869">
        <f>P363-10</f>
        <v>196</v>
      </c>
      <c r="T363" s="869">
        <f>Q363-10</f>
        <v>160</v>
      </c>
      <c r="U363" s="869">
        <f t="shared" ref="U363:AK363" si="91">R363-10</f>
        <v>176</v>
      </c>
      <c r="V363" s="869">
        <f t="shared" si="91"/>
        <v>186</v>
      </c>
      <c r="W363" s="869">
        <f t="shared" si="91"/>
        <v>150</v>
      </c>
      <c r="X363" s="869">
        <f t="shared" si="91"/>
        <v>166</v>
      </c>
      <c r="Y363" s="869">
        <f t="shared" si="91"/>
        <v>176</v>
      </c>
      <c r="Z363" s="869">
        <f t="shared" si="91"/>
        <v>140</v>
      </c>
      <c r="AA363" s="869">
        <f t="shared" si="91"/>
        <v>156</v>
      </c>
      <c r="AB363" s="869">
        <f t="shared" si="91"/>
        <v>166</v>
      </c>
      <c r="AC363" s="869">
        <f t="shared" si="91"/>
        <v>130</v>
      </c>
      <c r="AD363" s="869">
        <f t="shared" si="91"/>
        <v>146</v>
      </c>
      <c r="AE363" s="869">
        <f t="shared" si="91"/>
        <v>156</v>
      </c>
      <c r="AF363" s="869">
        <f t="shared" si="91"/>
        <v>120</v>
      </c>
      <c r="AG363" s="869">
        <f t="shared" si="91"/>
        <v>136</v>
      </c>
      <c r="AH363" s="869">
        <f t="shared" si="91"/>
        <v>146</v>
      </c>
      <c r="AI363" s="869">
        <f t="shared" si="91"/>
        <v>110</v>
      </c>
      <c r="AJ363" s="869">
        <f t="shared" si="91"/>
        <v>126</v>
      </c>
      <c r="AK363" s="869">
        <f t="shared" si="91"/>
        <v>136</v>
      </c>
    </row>
  </sheetData>
  <mergeCells count="11">
    <mergeCell ref="W1:Y1"/>
    <mergeCell ref="Z1:AB1"/>
    <mergeCell ref="AC1:AE1"/>
    <mergeCell ref="AF1:AH1"/>
    <mergeCell ref="AI1:AK1"/>
    <mergeCell ref="T1:V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J11" sqref="J11"/>
    </sheetView>
  </sheetViews>
  <sheetFormatPr defaultRowHeight="12.75"/>
  <sheetData>
    <row r="1" spans="1:10" ht="15" thickBot="1">
      <c r="A1" s="1050" t="s">
        <v>1372</v>
      </c>
      <c r="B1" s="1051"/>
      <c r="C1" s="1052"/>
    </row>
    <row r="2" spans="1:10" ht="14.25">
      <c r="A2" s="880" t="s">
        <v>934</v>
      </c>
      <c r="B2" s="881">
        <v>263.39999999999998</v>
      </c>
      <c r="C2" s="882">
        <v>1.03</v>
      </c>
    </row>
    <row r="3" spans="1:10">
      <c r="A3" s="852">
        <v>100</v>
      </c>
      <c r="B3" s="853">
        <v>263.39999999999998</v>
      </c>
      <c r="C3" s="854">
        <v>1.018</v>
      </c>
    </row>
    <row r="4" spans="1:10">
      <c r="A4" s="852">
        <f>A3-10</f>
        <v>90</v>
      </c>
      <c r="B4" s="855">
        <v>249.5</v>
      </c>
      <c r="C4" s="856">
        <v>0.70299999999999996</v>
      </c>
    </row>
    <row r="5" spans="1:10">
      <c r="A5" s="852">
        <f t="shared" ref="A5:A13" si="0">A4-10</f>
        <v>80</v>
      </c>
      <c r="B5" s="855">
        <v>215.6</v>
      </c>
      <c r="C5" s="856">
        <v>0.47399999999999998</v>
      </c>
    </row>
    <row r="6" spans="1:10">
      <c r="A6" s="852">
        <f t="shared" si="0"/>
        <v>70</v>
      </c>
      <c r="B6" s="855">
        <v>183.4</v>
      </c>
      <c r="C6" s="856">
        <v>0.315</v>
      </c>
    </row>
    <row r="7" spans="1:10">
      <c r="A7" s="852">
        <f t="shared" si="0"/>
        <v>60</v>
      </c>
      <c r="B7" s="855">
        <v>153.69999999999999</v>
      </c>
      <c r="C7" s="856">
        <v>0.25</v>
      </c>
    </row>
    <row r="8" spans="1:10">
      <c r="A8" s="852">
        <f t="shared" si="0"/>
        <v>50</v>
      </c>
      <c r="B8" s="855">
        <v>127.3</v>
      </c>
      <c r="C8" s="856">
        <v>0.17499999999999999</v>
      </c>
    </row>
    <row r="9" spans="1:10">
      <c r="A9" s="852">
        <f t="shared" si="0"/>
        <v>40</v>
      </c>
      <c r="B9" s="855">
        <v>104.5</v>
      </c>
      <c r="C9" s="856">
        <v>0.11600000000000001</v>
      </c>
    </row>
    <row r="10" spans="1:10">
      <c r="A10" s="852">
        <f t="shared" si="0"/>
        <v>30</v>
      </c>
      <c r="B10" s="855">
        <v>63.8</v>
      </c>
      <c r="C10" s="856">
        <v>8.3000000000000004E-2</v>
      </c>
      <c r="J10" s="889">
        <f>CC!J29</f>
        <v>133.52053824491546</v>
      </c>
    </row>
    <row r="11" spans="1:10">
      <c r="A11" s="835">
        <f>A10-10</f>
        <v>20</v>
      </c>
      <c r="B11" s="836">
        <v>50.9</v>
      </c>
      <c r="C11" s="837">
        <v>4.3999999999999997E-2</v>
      </c>
      <c r="J11" s="889">
        <f>CC!J30</f>
        <v>134.21275541041254</v>
      </c>
    </row>
    <row r="12" spans="1:10">
      <c r="A12" s="835">
        <f t="shared" si="0"/>
        <v>10</v>
      </c>
      <c r="B12" s="836">
        <v>32.9</v>
      </c>
      <c r="C12" s="837">
        <v>3.5000000000000003E-2</v>
      </c>
    </row>
    <row r="13" spans="1:10" ht="13.5" thickBot="1">
      <c r="A13" s="841">
        <f t="shared" si="0"/>
        <v>0</v>
      </c>
      <c r="B13" s="842">
        <v>0</v>
      </c>
      <c r="C13" s="843">
        <v>0</v>
      </c>
    </row>
    <row r="19" spans="11:16" ht="13.5" thickBot="1"/>
    <row r="20" spans="11:16" ht="15" thickBot="1">
      <c r="N20" s="883">
        <f>1*(J10-B5)*(J10-B7)*(J10-B9)*(J10-B11)*(J10-B13)/((B3-
B5)*(B3-B7)*(B3-B9)*(B3-B11)*(B3-B13))+0.892*(J10-B3)*
(J10-B7)*(J10-B9)*(J10-B11)*(J10-B13)/((B5-B3)*(B5-B7)*
(B5-B9)*(B5-B11)*(B5-B13))+0.76*(J10-B3)*(J10-B5)*(J10-
B9)*(J10-B11)*(J10-B13)/((B7-B3)*(B7-B5)*(B7-B9)*(B7-
B11)*(B7-B13))+0.661*(J10-B3)*(J10-B5)*(J10-B7)*(J10-
B11)*(J10-B13)/((B9-B3)*(B9-B5)*(B9-B7)*(B9-B11)*(B9-
B13))+0.58*(J10-B3)*(J10-B5)*(J10-B7)*(J10-B9)*(J10-
B13)/((B11-B3)*(B11-B5)*(B11-B7)*(B11-B9)*(B11-
B13))+0.54*(J10-B3)*(J10-B5)*(J10-B7)*(J10-B9)*(J10-B11)/
((B13-B3)*(B13-B5)*(B13-B7)*(B13-B9)*(B13-B11))</f>
        <v>0.7177902336848595</v>
      </c>
      <c r="O20" s="884">
        <f>0.97*(J10-B5)*(J10-B7)*(J10-B9)*(J10-B11)*(J10-B13)/((B3-
B5)*(B3-B7)*(B3-B9)*(B3-B11)*(B3-B13))+0.886*(J10-B3)*
(J10-B7)*(J10-B9)*(J10-B11)*(J10-B13)/((B5-B3)*(B5-B7)*
(B5-B9)*(B5-B11)*(B5-B13))+0.721*(J10-B3)*(J10-B5)*(J10-
B9)*(J10-B11)*(J10-B13)/((B7-B3)*(B7-B5)*(B7-B9)*(B7-
B11)*(B7-B13))+0.605*(J10-B3)*(J10-B5)*(J10-B7)*(J10-
B11)*(J10-B13)/((B9-B3)*(B9-B5)*(B9-B7)*(B9-B11)*(B9-
B13))+0.53*(J10-B3)*(J10-B5)*(J10-B7)*(J10-B9)*(J10-
B13)/((B11-B3)*(B11-B5)*(B11-B7)*(B11-B9)*(B11-
B13))+0.47*(J10-B3)*(J10-B5)*(J10-B7)*(J10-B9)*(J10-B11)/
((B13-B3)*(B13-B5)*(B13-B7)*(B13-B9)*(B13-B11))</f>
        <v>0.66881769226781806</v>
      </c>
      <c r="P20" s="885">
        <f>1*(J10-B5)*(J10-B7)*(J10-B9)*(J10-B11)*(J10-B13)/((B3-
B5)*(B3-B7)*(B3-B9)*(B3-B11)*(B3-B13))+0.9*(J10-B3)*
(J10-B7)*(J10-B9)*(J10-B11)*(J10-B13)/((B5-B3)*(B5-B7)*
(B5-B9)*(B5-B11)*(B5-B13))+0.752*(J10-B3)*(J10-B5)*(J10-
B9)*(J10-B11)*(J10-B13)/((B7-B3)*(B7-B5)*(B7-B9)*(B7-
B11)*(B7-B13))+0.6273*(J10-B3)*(J10-B5)*(J10-B7)*(J10-
B11)*(J10-B13)/((B9-B3)*(B9-B5)*(B9-B7)*(B9-B11)*(B9-
B13))+0.54*(J10-B3)*(J10-B5)*(J10-B7)*(J10-B9)*(J10-
B13)/((B11-B3)*(B11-B5)*(B11-B7)*(B11-B9)*(B11-
B13))+0.48*(J10-B3)*(J10-B5)*(J10-B7)*(J10-B9)*(J10-B11)/
((B13-B3)*(B13-B5)*(B13-B7)*(B13-B9)*(B13-B11))</f>
        <v>0.69833451236334321</v>
      </c>
    </row>
    <row r="21" spans="11:16" ht="15" thickBot="1">
      <c r="N21" s="886">
        <f>1.1*(J10-B5)*(J10-B7)*(J10-B9)*(J10-B11)*(J10-B13)/((B3-
B5)*(B3-B7)*(B3-B9)*(B3-B11)*(B3-B13))+0.877*(J10-B3)*
(J10-B7)*(J10-B9)*(J10-B11)*(J10-B13)/((B5-B3)*(B5-B7)*
(B5-B9)*(B5-B11)*(B5-B13))+0.772*(J10-B3)*(J10-B5)*(J10-
B9)*(J10-B11)*(J10-B13)/((B7-B3)*(B7-B5)*(B7-B9)*(B7-
B11)*(B7-B13))+0.681*(J10-B3)*(J10-B5)*(J10-B7)*(J10-
B11)*(J10-B13)/((B9-B3)*(B9-B5)*(B9-B7)*(B9-B11)*(B9-
B13))+0.604*(J10-B3)*(J10-B5)*(J10-B7)*(J10-B9)*(J10-
B13)/((B11-B3)*(B11-B5)*(B11-B7)*(B11-B9)*(B11-
B13))+0.584*(J10-B3)*(J10-B5)*(J10-B7)*(J10-B9)*(J10-B11)/
((B13-B3)*(B13-B5)*(B13-B7)*(B13-B9)*(B13-B11))</f>
        <v>0.73597039957547639</v>
      </c>
      <c r="O21" s="887">
        <f>1.2*(J10-B5)*(J10-B7)*(J10-B9)*(J10-B11)*(J10-B13)/((B3-
B5)*(B3-B7)*(B3-B9)*(B3-B11)*(B3-B13))+0.85*(J10-B3)*
(J10-B7)*(J10-B9)*(J10-B11)*(J10-B13)/((B5-B3)*(B5-B7)*
(B5-B9)*(B5-B11)*(B5-B13))+0.64*(J10-B3)*(J10-B5)*(J10-
B9)*(J10-B11)*(J10-B13)/((B7-B3)*(B7-B5)*(B7-B9)*(B7-
B11)*(B7-B13))+0.595*(J10-B3)*(J10-B5)*(J10-B7)*(J10-
B11)*(J10-B13)/((B9-B3)*(B9-B5)*(B9-B7)*(B9-B11)*(B9-
B13))+0.56*(J10-B3)*(J10-B5)*(J10-B7)*(J10-B9)*(J10-
B13)/((B11-B3)*(B11-B5)*(B11-B7)*(B11-B9)*(B11-
B13))+0.52*(J10-B3)*(J10-B5)*(J10-B7)*(J10-B9)*(J10-B11)/
((B13-B3)*(B13-B5)*(B13-B7)*(B13-B9)*(B13-B11))</f>
        <v>0.61478167622491353</v>
      </c>
      <c r="P21" s="888"/>
    </row>
    <row r="24" spans="11:16">
      <c r="K24" t="b">
        <f>IF(AND(Calculadora!B2&lt;0.01,Calculadora!B2&gt;-8.3),(N42*N21),IF(AND(I34&lt;-8.299,I34&gt;-13.5),(N20*N42),IF(AND(I34&lt;-13.49,I34&gt;-17.5),(P20*N42),IF(AND(Calculadora!B2&lt;-17.49,Calculadora!B2&gt;-30),(N42*O20),IF(AND(Calculadora!B2&lt;-29.99,Calculadora!B2&gt;-59),((N42*O21)))))))</f>
        <v>0</v>
      </c>
    </row>
    <row r="34" spans="9:14">
      <c r="I34">
        <f>CC!S34</f>
        <v>0.86</v>
      </c>
    </row>
    <row r="42" spans="9:14">
      <c r="N42">
        <f>CC!AB35</f>
        <v>1.1905563283091537E-2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18</vt:i4>
      </vt:variant>
    </vt:vector>
  </HeadingPairs>
  <TitlesOfParts>
    <vt:vector size="18" baseType="lpstr">
      <vt:lpstr>CB</vt:lpstr>
      <vt:lpstr>Calculadora</vt:lpstr>
      <vt:lpstr>CC</vt:lpstr>
      <vt:lpstr>HIO's Speciais</vt:lpstr>
      <vt:lpstr>Calibrador</vt:lpstr>
      <vt:lpstr>INF ...</vt:lpstr>
      <vt:lpstr>HWI Speciais</vt:lpstr>
      <vt:lpstr>Beam</vt:lpstr>
      <vt:lpstr>Wind Hill</vt:lpstr>
      <vt:lpstr>Dunk 2i</vt:lpstr>
      <vt:lpstr>PB</vt:lpstr>
      <vt:lpstr>Inclinações</vt:lpstr>
      <vt:lpstr>D. Real</vt:lpstr>
      <vt:lpstr>Lost 11 349</vt:lpstr>
      <vt:lpstr>Lost 11 363</vt:lpstr>
      <vt:lpstr>Lost 11 356</vt:lpstr>
      <vt:lpstr>Caliper</vt:lpstr>
      <vt:lpstr>S1</vt:lpstr>
    </vt:vector>
  </TitlesOfParts>
  <Manager>Flavio Farias</Manager>
  <Company>Flavio Farias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280+6y - Samuka (Editada)</dc:title>
  <dc:subject>Calculadora</dc:subject>
  <dc:creator>Flavio Farias</dc:creator>
  <cp:keywords>Pangya</cp:keywords>
  <dc:description>^^</dc:description>
  <cp:lastModifiedBy>Bee for lever last</cp:lastModifiedBy>
  <dcterms:created xsi:type="dcterms:W3CDTF">2012-10-05T22:04:43Z</dcterms:created>
  <dcterms:modified xsi:type="dcterms:W3CDTF">2016-09-09T13:19:41Z</dcterms:modified>
  <cp:category>Game</cp:category>
  <cp:contentStatus>^^</cp:contentStatus>
</cp:coreProperties>
</file>