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ActifRMF/"/>
    </mc:Choice>
  </mc:AlternateContent>
  <xr:revisionPtr revIDLastSave="0" documentId="13_ncr:1_{E43EEA7E-7858-CD4E-A448-94EBD7B030D6}" xr6:coauthVersionLast="47" xr6:coauthVersionMax="47" xr10:uidLastSave="{00000000-0000-0000-0000-000000000000}"/>
  <bookViews>
    <workbookView xWindow="160" yWindow="700" windowWidth="26720" windowHeight="15600" activeTab="2" xr2:uid="{D2300C02-24C1-470A-96A0-656254FE82FA}"/>
  </bookViews>
  <sheets>
    <sheet name="Ejemplo Reporte" sheetId="3" r:id="rId1"/>
    <sheet name="Activos Extranjeros" sheetId="1" r:id="rId2"/>
    <sheet name="Activos Mexican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2" l="1"/>
  <c r="X6" i="2"/>
  <c r="O6" i="2"/>
  <c r="I2" i="3"/>
  <c r="M2" i="3" s="1"/>
  <c r="I3" i="3"/>
  <c r="S3" i="3" s="1"/>
  <c r="I4" i="3"/>
  <c r="S4" i="3" s="1"/>
  <c r="I5" i="3"/>
  <c r="S5" i="3" s="1"/>
  <c r="I6" i="3"/>
  <c r="S6" i="3" s="1"/>
  <c r="I7" i="3"/>
  <c r="S7" i="3" s="1"/>
  <c r="I8" i="3"/>
  <c r="M8" i="3" s="1"/>
  <c r="I9" i="3"/>
  <c r="I10" i="3"/>
  <c r="M10" i="3" s="1"/>
  <c r="T10" i="3"/>
  <c r="V10" i="3" s="1"/>
  <c r="Q10" i="3"/>
  <c r="J10" i="3"/>
  <c r="AA9" i="3"/>
  <c r="T9" i="3"/>
  <c r="V9" i="3" s="1"/>
  <c r="W9" i="3" s="1"/>
  <c r="X9" i="3" s="1"/>
  <c r="Q9" i="3"/>
  <c r="N9" i="3"/>
  <c r="J9" i="3"/>
  <c r="T8" i="3"/>
  <c r="V8" i="3" s="1"/>
  <c r="Q8" i="3"/>
  <c r="J8" i="3"/>
  <c r="T7" i="3"/>
  <c r="V7" i="3" s="1"/>
  <c r="Q7" i="3"/>
  <c r="J7" i="3"/>
  <c r="T6" i="3"/>
  <c r="V6" i="3" s="1"/>
  <c r="Q6" i="3"/>
  <c r="J6" i="3"/>
  <c r="T5" i="3"/>
  <c r="V5" i="3" s="1"/>
  <c r="Q5" i="3"/>
  <c r="J5" i="3"/>
  <c r="T4" i="3"/>
  <c r="V4" i="3" s="1"/>
  <c r="Q4" i="3"/>
  <c r="J4" i="3"/>
  <c r="T3" i="3"/>
  <c r="V3" i="3" s="1"/>
  <c r="Q3" i="3"/>
  <c r="J3" i="3"/>
  <c r="U2" i="3"/>
  <c r="T2" i="3"/>
  <c r="Q2" i="3"/>
  <c r="J2" i="3"/>
  <c r="G10" i="1"/>
  <c r="F10" i="1"/>
  <c r="M10" i="1" s="1"/>
  <c r="D18" i="2"/>
  <c r="R16" i="2"/>
  <c r="T16" i="2" s="1"/>
  <c r="N16" i="2"/>
  <c r="G16" i="2"/>
  <c r="F16" i="2"/>
  <c r="Q16" i="2" s="1"/>
  <c r="AA15" i="2"/>
  <c r="R15" i="2"/>
  <c r="T15" i="2" s="1"/>
  <c r="N15" i="2"/>
  <c r="K15" i="2"/>
  <c r="G15" i="2"/>
  <c r="F15" i="2"/>
  <c r="R13" i="2"/>
  <c r="T13" i="2" s="1"/>
  <c r="N13" i="2"/>
  <c r="G13" i="2"/>
  <c r="F13" i="2"/>
  <c r="J13" i="2" s="1"/>
  <c r="T12" i="2"/>
  <c r="R12" i="2"/>
  <c r="N12" i="2"/>
  <c r="G12" i="2"/>
  <c r="F12" i="2"/>
  <c r="Q12" i="2" s="1"/>
  <c r="R11" i="2"/>
  <c r="T11" i="2" s="1"/>
  <c r="Q11" i="2"/>
  <c r="U11" i="2" s="1"/>
  <c r="V11" i="2" s="1"/>
  <c r="N11" i="2"/>
  <c r="G11" i="2"/>
  <c r="F11" i="2"/>
  <c r="J11" i="2" s="1"/>
  <c r="AA11" i="2" s="1"/>
  <c r="AB11" i="2" s="1"/>
  <c r="R9" i="2"/>
  <c r="T9" i="2" s="1"/>
  <c r="N9" i="2"/>
  <c r="J9" i="2"/>
  <c r="K9" i="2" s="1"/>
  <c r="G9" i="2"/>
  <c r="F9" i="2"/>
  <c r="Q9" i="2" s="1"/>
  <c r="AA9" i="2" s="1"/>
  <c r="AB9" i="2" s="1"/>
  <c r="R8" i="2"/>
  <c r="T8" i="2" s="1"/>
  <c r="N8" i="2"/>
  <c r="G8" i="2"/>
  <c r="F8" i="2"/>
  <c r="Q8" i="2" s="1"/>
  <c r="R7" i="2"/>
  <c r="T7" i="2" s="1"/>
  <c r="N7" i="2"/>
  <c r="G7" i="2"/>
  <c r="F7" i="2"/>
  <c r="J7" i="2" s="1"/>
  <c r="S6" i="2"/>
  <c r="T6" i="2" s="1"/>
  <c r="R6" i="2"/>
  <c r="N6" i="2"/>
  <c r="G6" i="2"/>
  <c r="F6" i="2"/>
  <c r="J6" i="2" s="1"/>
  <c r="D12" i="1"/>
  <c r="R9" i="3" l="1"/>
  <c r="Y9" i="3" s="1"/>
  <c r="Z9" i="3" s="1"/>
  <c r="M7" i="3"/>
  <c r="AA7" i="3" s="1"/>
  <c r="AB7" i="3" s="1"/>
  <c r="M5" i="3"/>
  <c r="AA5" i="3" s="1"/>
  <c r="M4" i="3"/>
  <c r="AA4" i="3" s="1"/>
  <c r="AB4" i="3" s="1"/>
  <c r="W4" i="3"/>
  <c r="X4" i="3" s="1"/>
  <c r="W6" i="3"/>
  <c r="X6" i="3" s="1"/>
  <c r="S8" i="3"/>
  <c r="AA8" i="3" s="1"/>
  <c r="AB8" i="3" s="1"/>
  <c r="AB5" i="3"/>
  <c r="M6" i="3"/>
  <c r="AA6" i="3" s="1"/>
  <c r="AB6" i="3" s="1"/>
  <c r="V2" i="3"/>
  <c r="M3" i="3"/>
  <c r="N3" i="3" s="1"/>
  <c r="R3" i="3" s="1"/>
  <c r="N10" i="3"/>
  <c r="R10" i="3" s="1"/>
  <c r="W3" i="3"/>
  <c r="X3" i="3" s="1"/>
  <c r="W5" i="3"/>
  <c r="X5" i="3" s="1"/>
  <c r="N2" i="3"/>
  <c r="R2" i="3" s="1"/>
  <c r="AB9" i="3"/>
  <c r="W7" i="3"/>
  <c r="X7" i="3" s="1"/>
  <c r="N4" i="3"/>
  <c r="R4" i="3" s="1"/>
  <c r="Y4" i="3" s="1"/>
  <c r="Z4" i="3" s="1"/>
  <c r="N8" i="3"/>
  <c r="R8" i="3" s="1"/>
  <c r="S10" i="3"/>
  <c r="W10" i="3" s="1"/>
  <c r="X10" i="3" s="1"/>
  <c r="S2" i="3"/>
  <c r="U12" i="2"/>
  <c r="V12" i="2" s="1"/>
  <c r="U16" i="2"/>
  <c r="V16" i="2" s="1"/>
  <c r="G18" i="2"/>
  <c r="O9" i="2"/>
  <c r="U8" i="2"/>
  <c r="V8" i="2" s="1"/>
  <c r="O15" i="2"/>
  <c r="K10" i="1"/>
  <c r="L10" i="1" s="1"/>
  <c r="N10" i="1" s="1"/>
  <c r="O10" i="1" s="1"/>
  <c r="Q10" i="1" s="1"/>
  <c r="S10" i="1" s="1"/>
  <c r="K13" i="2"/>
  <c r="O13" i="2" s="1"/>
  <c r="U15" i="2"/>
  <c r="V15" i="2" s="1"/>
  <c r="X15" i="2" s="1"/>
  <c r="Y15" i="2" s="1"/>
  <c r="AB15" i="2"/>
  <c r="K6" i="2"/>
  <c r="AA6" i="2"/>
  <c r="K7" i="2"/>
  <c r="O7" i="2" s="1"/>
  <c r="Q6" i="2"/>
  <c r="Q7" i="2"/>
  <c r="U7" i="2" s="1"/>
  <c r="V7" i="2" s="1"/>
  <c r="J12" i="2"/>
  <c r="K11" i="2"/>
  <c r="O11" i="2" s="1"/>
  <c r="X11" i="2" s="1"/>
  <c r="Y11" i="2" s="1"/>
  <c r="U9" i="2"/>
  <c r="V9" i="2" s="1"/>
  <c r="X9" i="2" s="1"/>
  <c r="Y9" i="2" s="1"/>
  <c r="J8" i="2"/>
  <c r="Q13" i="2"/>
  <c r="U13" i="2" s="1"/>
  <c r="V13" i="2" s="1"/>
  <c r="J16" i="2"/>
  <c r="G9" i="1"/>
  <c r="F9" i="1"/>
  <c r="M9" i="1" s="1"/>
  <c r="F8" i="1"/>
  <c r="M8" i="1" s="1"/>
  <c r="F7" i="1"/>
  <c r="M7" i="1" s="1"/>
  <c r="F6" i="1"/>
  <c r="M6" i="1" s="1"/>
  <c r="G8" i="1"/>
  <c r="N7" i="3" l="1"/>
  <c r="R7" i="3" s="1"/>
  <c r="Y3" i="3"/>
  <c r="Z3" i="3" s="1"/>
  <c r="N6" i="3"/>
  <c r="R6" i="3" s="1"/>
  <c r="Y6" i="3" s="1"/>
  <c r="Z6" i="3" s="1"/>
  <c r="N5" i="3"/>
  <c r="R5" i="3" s="1"/>
  <c r="Y5" i="3" s="1"/>
  <c r="Z5" i="3" s="1"/>
  <c r="W2" i="3"/>
  <c r="X2" i="3" s="1"/>
  <c r="Y2" i="3" s="1"/>
  <c r="Z2" i="3" s="1"/>
  <c r="AA3" i="3"/>
  <c r="AB3" i="3" s="1"/>
  <c r="W8" i="3"/>
  <c r="X8" i="3" s="1"/>
  <c r="Y8" i="3" s="1"/>
  <c r="Z8" i="3" s="1"/>
  <c r="Y7" i="3"/>
  <c r="Z7" i="3" s="1"/>
  <c r="Y10" i="3"/>
  <c r="Z10" i="3" s="1"/>
  <c r="AA2" i="3"/>
  <c r="AB2" i="3" s="1"/>
  <c r="AA10" i="3"/>
  <c r="AB10" i="3" s="1"/>
  <c r="K6" i="1"/>
  <c r="AB6" i="2"/>
  <c r="Q18" i="2"/>
  <c r="U6" i="2"/>
  <c r="K8" i="2"/>
  <c r="O8" i="2" s="1"/>
  <c r="Y8" i="2" s="1"/>
  <c r="AA8" i="2"/>
  <c r="AB8" i="2" s="1"/>
  <c r="K16" i="2"/>
  <c r="O16" i="2" s="1"/>
  <c r="X16" i="2" s="1"/>
  <c r="Y16" i="2" s="1"/>
  <c r="AA16" i="2"/>
  <c r="AB16" i="2" s="1"/>
  <c r="X7" i="2"/>
  <c r="Y7" i="2" s="1"/>
  <c r="X13" i="2"/>
  <c r="Y13" i="2" s="1"/>
  <c r="J18" i="2"/>
  <c r="K12" i="2"/>
  <c r="O12" i="2" s="1"/>
  <c r="X12" i="2" s="1"/>
  <c r="Y12" i="2" s="1"/>
  <c r="AA12" i="2"/>
  <c r="AB12" i="2" s="1"/>
  <c r="AA7" i="2"/>
  <c r="AB7" i="2" s="1"/>
  <c r="AA13" i="2"/>
  <c r="AB13" i="2" s="1"/>
  <c r="K7" i="1"/>
  <c r="K8" i="1"/>
  <c r="K9" i="1"/>
  <c r="M12" i="1" l="1"/>
  <c r="K18" i="2"/>
  <c r="O18" i="2"/>
  <c r="AA18" i="2"/>
  <c r="U18" i="2"/>
  <c r="V6" i="2"/>
  <c r="V18" i="2" s="1"/>
  <c r="AB18" i="2"/>
  <c r="L8" i="1"/>
  <c r="N8" i="1" s="1"/>
  <c r="O8" i="1" s="1"/>
  <c r="Q8" i="1" s="1"/>
  <c r="S8" i="1" s="1"/>
  <c r="L9" i="1"/>
  <c r="N9" i="1" s="1"/>
  <c r="O9" i="1" s="1"/>
  <c r="Q9" i="1" s="1"/>
  <c r="S9" i="1" s="1"/>
  <c r="K12" i="1"/>
  <c r="Y6" i="2" l="1"/>
  <c r="Y18" i="2" s="1"/>
  <c r="X18" i="2"/>
  <c r="G7" i="1" l="1"/>
  <c r="L7" i="1" s="1"/>
  <c r="N7" i="1" s="1"/>
  <c r="O7" i="1" s="1"/>
  <c r="Q7" i="1" s="1"/>
  <c r="S7" i="1" s="1"/>
  <c r="G6" i="1"/>
  <c r="L6" i="1" l="1"/>
  <c r="N6" i="1" s="1"/>
  <c r="O6" i="1" s="1"/>
  <c r="Q6" i="1" s="1"/>
  <c r="G12" i="1"/>
  <c r="Q12" i="1" l="1"/>
  <c r="S6" i="1"/>
  <c r="S12" i="1" s="1"/>
  <c r="O12" i="1"/>
  <c r="N12" i="1"/>
  <c r="L12" i="1"/>
</calcChain>
</file>

<file path=xl/sharedStrings.xml><?xml version="1.0" encoding="utf-8"?>
<sst xmlns="http://schemas.openxmlformats.org/spreadsheetml/2006/main" count="183" uniqueCount="85">
  <si>
    <t>MOI</t>
  </si>
  <si>
    <t>Ejercicio de calculo: 2024</t>
  </si>
  <si>
    <t>Saldo por deducir ISR al inicio año</t>
  </si>
  <si>
    <t>Deprec anual</t>
  </si>
  <si>
    <t>INPC Adqu</t>
  </si>
  <si>
    <t>Fecha de adquisicion</t>
  </si>
  <si>
    <t>INPC ½ del ejercicio</t>
  </si>
  <si>
    <t>Factor Actualizacion</t>
  </si>
  <si>
    <t>Tipo</t>
  </si>
  <si>
    <t>AF</t>
  </si>
  <si>
    <t>Saldo actualizado</t>
  </si>
  <si>
    <t>Depreciacion Fiscal del Ejercicio</t>
  </si>
  <si>
    <t>PASO 1 - SALDO DEL ACTIVO AL INICIO DEL AÑO O MOI</t>
  </si>
  <si>
    <t>Anual Rate</t>
  </si>
  <si>
    <t>Month Rate</t>
  </si>
  <si>
    <t>Meses de uso al ejercicio ant</t>
  </si>
  <si>
    <t>Meses de uso en el ejercicio</t>
  </si>
  <si>
    <t>INPC ½ del periodo</t>
  </si>
  <si>
    <t>Depreciacion Fiscal Actualizada</t>
  </si>
  <si>
    <t>Fecha de baja</t>
  </si>
  <si>
    <t>-</t>
  </si>
  <si>
    <t>50% de la depreciaicion fiscal</t>
  </si>
  <si>
    <t>Valor Promedio</t>
  </si>
  <si>
    <t>PASO 2 - CALCULO DE LA DEP FISCAL A DEDUCIR DEL ACTIVO</t>
  </si>
  <si>
    <t>Valor Promedio proporcional del año</t>
  </si>
  <si>
    <t>DATOS GENERALES DE LOS ACTIVOS</t>
  </si>
  <si>
    <t>Dep Fiscal acumulada incio año</t>
  </si>
  <si>
    <t>Saldo Fiscal por Deducir Historico</t>
  </si>
  <si>
    <t>Saldo Fiscal por Deducir Actualizado</t>
  </si>
  <si>
    <t>A=Activo       B=Baja</t>
  </si>
  <si>
    <t>A</t>
  </si>
  <si>
    <t>B</t>
  </si>
  <si>
    <t>Terreno</t>
  </si>
  <si>
    <t>Edificio</t>
  </si>
  <si>
    <t>TOTALES</t>
  </si>
  <si>
    <t>Observaciones</t>
  </si>
  <si>
    <t>Activo en uso en 2024</t>
  </si>
  <si>
    <t>Activo adquirido en 2024 antes junio</t>
  </si>
  <si>
    <t>Activo adquirido en 2024 despues junio</t>
  </si>
  <si>
    <t>Activo dado de baja en 2024</t>
  </si>
  <si>
    <t>Terreno dado de baja en 2024</t>
  </si>
  <si>
    <t>Terreno en uso en 2024</t>
  </si>
  <si>
    <t>Edificio en uso en 2024</t>
  </si>
  <si>
    <t>Edificio dado de baja en 2024 totalmente depreciado</t>
  </si>
  <si>
    <t>Terreno adquirido en 2024 antes junio</t>
  </si>
  <si>
    <t>PASO 3 - CALCULO VALOR SH</t>
  </si>
  <si>
    <t>Meses de uso hasta la ½ del periodo</t>
  </si>
  <si>
    <t>Monto pendiente por deducir</t>
  </si>
  <si>
    <t>Tipo de cambio 30 de junio 2024</t>
  </si>
  <si>
    <t>Meses de uso al inicio del ejercicio</t>
  </si>
  <si>
    <t>Prueba del 10% MOI</t>
  </si>
  <si>
    <t>Proporcion del Monto pendiente por deducir</t>
  </si>
  <si>
    <t>Valor Promedio proporcional del año PESOS</t>
  </si>
  <si>
    <t>Activo en uso prueba 10% MOI</t>
  </si>
  <si>
    <t>Ejercicio de calculo: 2024 (Art 182, fraccion I, inciso a) LISR)</t>
  </si>
  <si>
    <t>Como el activo estuvo desde el inicio del año, la deduccion se calcula hasta junio conforme a lo reslatado en amarillo en el WORD</t>
  </si>
  <si>
    <t>Como el activo se adquirio en el año y se utilizo 10 meses (meses completos), la deduccion se calcula hasta la mitad del periodo (de los 10 meses) conforme a lo resaltado en verde y en azul  en el WORD</t>
  </si>
  <si>
    <t>Este activo ya existia al inicio del año pero se dio de baja en el año.Se utilizó 8 meses por lo que la deduccion se calcula por la mitad del periodo utilizado (4) y aplica tambien lo resaltado en verde y azul en WORD</t>
  </si>
  <si>
    <t>Aplica lo mismo que el anterior. Se adquirio en el año y se utilizó 6 meses pero la deduccion es a la mitad del periodo de 6 meses (3). Se aplica lo resaltado en verde y azul</t>
  </si>
  <si>
    <t>El monto pendiente de deducir (de todos los activos ) se multiplica por el TC vigente al ultimo dia del mes de la primera mitad del ejercicio (no del periodo)… Sera junio del año del calculo conforme a lo resaltado en gris en el WORD</t>
  </si>
  <si>
    <t>Prueba de los activos totalmente depreciados o si el saldo por deducir es menor al 10% del MOI conforme a lo resaltado en rosa en el WORD</t>
  </si>
  <si>
    <t>Id_Num_Activo</t>
  </si>
  <si>
    <t>Placa</t>
  </si>
  <si>
    <t>Descripción</t>
  </si>
  <si>
    <t>TipoActivo</t>
  </si>
  <si>
    <t>adf1441</t>
  </si>
  <si>
    <t>Descripción del Activo</t>
  </si>
  <si>
    <t>Maquinaria</t>
  </si>
  <si>
    <t>ESD2945</t>
  </si>
  <si>
    <t>ESD2938</t>
  </si>
  <si>
    <t>ESD9382</t>
  </si>
  <si>
    <t>ESD15826</t>
  </si>
  <si>
    <t>ESD22270</t>
  </si>
  <si>
    <t>ESD28714</t>
  </si>
  <si>
    <t>ESD35158</t>
  </si>
  <si>
    <t>ESD41602</t>
  </si>
  <si>
    <t>Terreno X234i</t>
  </si>
  <si>
    <t>Terrenoidai</t>
  </si>
  <si>
    <t>Terreno 9484</t>
  </si>
  <si>
    <t>Edificio 999g9</t>
  </si>
  <si>
    <t>Descripcion EDIFICIO</t>
  </si>
  <si>
    <t>Esta primera propuesta de reporte es hacer reporte con esta misma estructura pero agregando identificador del activo y descripción.</t>
  </si>
  <si>
    <t xml:space="preserve">El objetivo es que me digan si agregar o quitar columnas. </t>
  </si>
  <si>
    <t xml:space="preserve">Se pondría totales a todas las columnas donde sea conveniente. </t>
  </si>
  <si>
    <t>El reporte se generaría por compañía y se permitiría exportar a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</si>
</sst>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#,##0.0000_);\(#,##0.0000\)"/>
    <numFmt numFmtId="166" formatCode="0.0%"/>
    <numFmt numFmtId="167" formatCode="0.0000%"/>
    <numFmt numFmtId="168" formatCode="#,##0.00000_);\(#,##0.000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indexed="8"/>
      <name val="MS Sans Serif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69">
    <xf numFmtId="0" fontId="0" fillId="0" borderId="0" xfId="0"/>
    <xf numFmtId="37" fontId="2" fillId="0" borderId="0" xfId="0" applyNumberFormat="1" applyFont="1"/>
    <xf numFmtId="37" fontId="2" fillId="0" borderId="0" xfId="0" applyNumberFormat="1" applyFont="1" applyAlignment="1">
      <alignment horizontal="center" wrapText="1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165" fontId="2" fillId="0" borderId="0" xfId="0" applyNumberFormat="1" applyFont="1"/>
    <xf numFmtId="37" fontId="2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37" fontId="3" fillId="0" borderId="0" xfId="0" applyNumberFormat="1" applyFont="1"/>
    <xf numFmtId="37" fontId="2" fillId="0" borderId="1" xfId="0" applyNumberFormat="1" applyFont="1" applyBorder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3" fillId="0" borderId="0" xfId="0" applyNumberFormat="1" applyFont="1" applyAlignment="1">
      <alignment horizontal="center"/>
    </xf>
    <xf numFmtId="37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37" fontId="3" fillId="0" borderId="2" xfId="0" applyNumberFormat="1" applyFont="1" applyBorder="1"/>
    <xf numFmtId="9" fontId="3" fillId="0" borderId="2" xfId="1" applyFont="1" applyBorder="1" applyAlignment="1">
      <alignment horizontal="center"/>
    </xf>
    <xf numFmtId="37" fontId="3" fillId="0" borderId="2" xfId="0" applyNumberFormat="1" applyFont="1" applyBorder="1" applyAlignment="1">
      <alignment horizontal="center"/>
    </xf>
    <xf numFmtId="37" fontId="3" fillId="2" borderId="2" xfId="0" applyNumberFormat="1" applyFont="1" applyFill="1" applyBorder="1"/>
    <xf numFmtId="166" fontId="2" fillId="0" borderId="0" xfId="1" applyNumberFormat="1" applyFont="1"/>
    <xf numFmtId="37" fontId="4" fillId="0" borderId="0" xfId="0" applyNumberFormat="1" applyFont="1"/>
    <xf numFmtId="37" fontId="2" fillId="0" borderId="0" xfId="0" applyNumberFormat="1" applyFont="1" applyAlignment="1">
      <alignment horizontal="right"/>
    </xf>
    <xf numFmtId="168" fontId="2" fillId="0" borderId="0" xfId="0" applyNumberFormat="1" applyFont="1"/>
    <xf numFmtId="37" fontId="2" fillId="2" borderId="0" xfId="0" applyNumberFormat="1" applyFont="1" applyFill="1"/>
    <xf numFmtId="37" fontId="2" fillId="3" borderId="0" xfId="0" applyNumberFormat="1" applyFont="1" applyFill="1"/>
    <xf numFmtId="165" fontId="2" fillId="4" borderId="0" xfId="0" applyNumberFormat="1" applyFont="1" applyFill="1" applyAlignment="1">
      <alignment horizontal="center"/>
    </xf>
    <xf numFmtId="37" fontId="2" fillId="5" borderId="0" xfId="0" applyNumberFormat="1" applyFont="1" applyFill="1"/>
    <xf numFmtId="37" fontId="2" fillId="2" borderId="6" xfId="0" applyNumberFormat="1" applyFont="1" applyFill="1" applyBorder="1" applyAlignment="1">
      <alignment horizontal="center" wrapText="1"/>
    </xf>
    <xf numFmtId="37" fontId="2" fillId="2" borderId="1" xfId="0" applyNumberFormat="1" applyFont="1" applyFill="1" applyBorder="1" applyAlignment="1">
      <alignment horizontal="center" wrapText="1"/>
    </xf>
    <xf numFmtId="37" fontId="2" fillId="2" borderId="7" xfId="0" applyNumberFormat="1" applyFont="1" applyFill="1" applyBorder="1" applyAlignment="1">
      <alignment horizontal="center" wrapText="1"/>
    </xf>
    <xf numFmtId="37" fontId="2" fillId="2" borderId="8" xfId="0" applyNumberFormat="1" applyFont="1" applyFill="1" applyBorder="1"/>
    <xf numFmtId="165" fontId="2" fillId="2" borderId="0" xfId="0" applyNumberFormat="1" applyFont="1" applyFill="1"/>
    <xf numFmtId="37" fontId="2" fillId="2" borderId="9" xfId="0" applyNumberFormat="1" applyFont="1" applyFill="1" applyBorder="1"/>
    <xf numFmtId="37" fontId="3" fillId="2" borderId="10" xfId="0" applyNumberFormat="1" applyFont="1" applyFill="1" applyBorder="1"/>
    <xf numFmtId="165" fontId="3" fillId="2" borderId="2" xfId="0" applyNumberFormat="1" applyFont="1" applyFill="1" applyBorder="1"/>
    <xf numFmtId="37" fontId="3" fillId="2" borderId="11" xfId="0" applyNumberFormat="1" applyFont="1" applyFill="1" applyBorder="1"/>
    <xf numFmtId="37" fontId="2" fillId="3" borderId="6" xfId="0" applyNumberFormat="1" applyFont="1" applyFill="1" applyBorder="1" applyAlignment="1">
      <alignment horizontal="center" wrapText="1"/>
    </xf>
    <xf numFmtId="37" fontId="2" fillId="3" borderId="1" xfId="0" applyNumberFormat="1" applyFont="1" applyFill="1" applyBorder="1" applyAlignment="1">
      <alignment horizontal="center" wrapText="1"/>
    </xf>
    <xf numFmtId="37" fontId="2" fillId="3" borderId="7" xfId="0" applyNumberFormat="1" applyFont="1" applyFill="1" applyBorder="1" applyAlignment="1">
      <alignment horizontal="center" wrapText="1"/>
    </xf>
    <xf numFmtId="37" fontId="2" fillId="3" borderId="8" xfId="0" applyNumberFormat="1" applyFont="1" applyFill="1" applyBorder="1"/>
    <xf numFmtId="165" fontId="2" fillId="3" borderId="0" xfId="0" applyNumberFormat="1" applyFont="1" applyFill="1"/>
    <xf numFmtId="37" fontId="2" fillId="3" borderId="9" xfId="0" applyNumberFormat="1" applyFont="1" applyFill="1" applyBorder="1"/>
    <xf numFmtId="37" fontId="3" fillId="3" borderId="10" xfId="0" applyNumberFormat="1" applyFont="1" applyFill="1" applyBorder="1"/>
    <xf numFmtId="37" fontId="3" fillId="3" borderId="2" xfId="0" applyNumberFormat="1" applyFont="1" applyFill="1" applyBorder="1"/>
    <xf numFmtId="37" fontId="3" fillId="3" borderId="11" xfId="0" applyNumberFormat="1" applyFont="1" applyFill="1" applyBorder="1"/>
    <xf numFmtId="37" fontId="2" fillId="6" borderId="0" xfId="0" applyNumberFormat="1" applyFont="1" applyFill="1"/>
    <xf numFmtId="37" fontId="2" fillId="7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37" fontId="2" fillId="7" borderId="0" xfId="0" applyNumberFormat="1" applyFont="1" applyFill="1"/>
    <xf numFmtId="9" fontId="2" fillId="7" borderId="0" xfId="1" applyFont="1" applyFill="1" applyAlignment="1">
      <alignment horizontal="center"/>
    </xf>
    <xf numFmtId="167" fontId="2" fillId="7" borderId="0" xfId="1" applyNumberFormat="1" applyFont="1" applyFill="1" applyAlignment="1">
      <alignment horizontal="center"/>
    </xf>
    <xf numFmtId="37" fontId="2" fillId="7" borderId="8" xfId="0" applyNumberFormat="1" applyFont="1" applyFill="1" applyBorder="1"/>
    <xf numFmtId="165" fontId="2" fillId="7" borderId="0" xfId="0" applyNumberFormat="1" applyFont="1" applyFill="1"/>
    <xf numFmtId="37" fontId="2" fillId="7" borderId="9" xfId="0" applyNumberFormat="1" applyFont="1" applyFill="1" applyBorder="1"/>
    <xf numFmtId="37" fontId="2" fillId="0" borderId="6" xfId="0" applyNumberFormat="1" applyFont="1" applyBorder="1" applyAlignment="1">
      <alignment horizontal="center" wrapText="1"/>
    </xf>
    <xf numFmtId="37" fontId="2" fillId="0" borderId="7" xfId="0" applyNumberFormat="1" applyFont="1" applyBorder="1" applyAlignment="1">
      <alignment horizontal="center" wrapText="1"/>
    </xf>
    <xf numFmtId="37" fontId="2" fillId="0" borderId="8" xfId="0" applyNumberFormat="1" applyFont="1" applyBorder="1"/>
    <xf numFmtId="37" fontId="2" fillId="0" borderId="9" xfId="0" applyNumberFormat="1" applyFont="1" applyBorder="1"/>
    <xf numFmtId="9" fontId="2" fillId="0" borderId="0" xfId="1" applyFont="1" applyFill="1" applyAlignment="1">
      <alignment horizontal="center"/>
    </xf>
    <xf numFmtId="167" fontId="2" fillId="0" borderId="0" xfId="1" applyNumberFormat="1" applyFont="1" applyFill="1" applyAlignment="1">
      <alignment horizontal="center"/>
    </xf>
    <xf numFmtId="0" fontId="0" fillId="8" borderId="0" xfId="0" applyFill="1"/>
    <xf numFmtId="37" fontId="4" fillId="2" borderId="3" xfId="0" applyNumberFormat="1" applyFont="1" applyFill="1" applyBorder="1" applyAlignment="1">
      <alignment horizontal="center"/>
    </xf>
    <xf numFmtId="37" fontId="4" fillId="2" borderId="4" xfId="0" applyNumberFormat="1" applyFont="1" applyFill="1" applyBorder="1" applyAlignment="1">
      <alignment horizontal="center"/>
    </xf>
    <xf numFmtId="37" fontId="4" fillId="2" borderId="5" xfId="0" applyNumberFormat="1" applyFont="1" applyFill="1" applyBorder="1" applyAlignment="1">
      <alignment horizontal="center"/>
    </xf>
    <xf numFmtId="37" fontId="4" fillId="3" borderId="3" xfId="0" applyNumberFormat="1" applyFont="1" applyFill="1" applyBorder="1" applyAlignment="1">
      <alignment horizontal="center"/>
    </xf>
    <xf numFmtId="37" fontId="4" fillId="3" borderId="4" xfId="0" applyNumberFormat="1" applyFont="1" applyFill="1" applyBorder="1" applyAlignment="1">
      <alignment horizontal="center"/>
    </xf>
    <xf numFmtId="37" fontId="4" fillId="3" borderId="5" xfId="0" applyNumberFormat="1" applyFont="1" applyFill="1" applyBorder="1" applyAlignment="1">
      <alignment horizontal="center"/>
    </xf>
    <xf numFmtId="37" fontId="4" fillId="0" borderId="0" xfId="0" applyNumberFormat="1" applyFont="1" applyAlignment="1">
      <alignment horizontal="center"/>
    </xf>
  </cellXfs>
  <cellStyles count="3">
    <cellStyle name="Normal" xfId="0" builtinId="0"/>
    <cellStyle name="Normal 2 3" xfId="2" xr:uid="{9BD53EFD-94EF-43B3-A572-4FE5590EFE32}"/>
    <cellStyle name="Porcentaje" xfId="1" builtinId="5"/>
  </cellStyles>
  <dxfs count="0"/>
  <tableStyles count="0" defaultTableStyle="TableStyleMedium2" defaultPivotStyle="PivotStyleLight16"/>
  <colors>
    <mruColors>
      <color rgb="FF00FFFF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144B-952F-DB48-A60D-FC9D711BDB29}">
  <dimension ref="A1:AC18"/>
  <sheetViews>
    <sheetView zoomScale="140" zoomScaleNormal="140" workbookViewId="0">
      <selection activeCell="D24" sqref="D24"/>
    </sheetView>
  </sheetViews>
  <sheetFormatPr baseColWidth="10" defaultRowHeight="15"/>
  <cols>
    <col min="3" max="3" width="17.83203125" bestFit="1" customWidth="1"/>
  </cols>
  <sheetData>
    <row r="1" spans="1:29" ht="54" thickBot="1">
      <c r="A1" s="61" t="s">
        <v>61</v>
      </c>
      <c r="B1" s="61" t="s">
        <v>62</v>
      </c>
      <c r="C1" s="61" t="s">
        <v>63</v>
      </c>
      <c r="D1" s="11" t="s">
        <v>64</v>
      </c>
      <c r="E1" s="11" t="s">
        <v>5</v>
      </c>
      <c r="F1" s="11" t="s">
        <v>19</v>
      </c>
      <c r="G1" s="11" t="s">
        <v>0</v>
      </c>
      <c r="H1" s="11" t="s">
        <v>13</v>
      </c>
      <c r="I1" s="11" t="s">
        <v>14</v>
      </c>
      <c r="J1" s="11" t="s">
        <v>3</v>
      </c>
      <c r="K1" s="11" t="s">
        <v>15</v>
      </c>
      <c r="L1" s="11" t="s">
        <v>16</v>
      </c>
      <c r="M1" s="11" t="s">
        <v>26</v>
      </c>
      <c r="N1" s="55" t="s">
        <v>2</v>
      </c>
      <c r="O1" s="11" t="s">
        <v>4</v>
      </c>
      <c r="P1" s="11" t="s">
        <v>6</v>
      </c>
      <c r="Q1" s="11" t="s">
        <v>7</v>
      </c>
      <c r="R1" s="56" t="s">
        <v>10</v>
      </c>
      <c r="S1" s="55" t="s">
        <v>11</v>
      </c>
      <c r="T1" s="11" t="s">
        <v>4</v>
      </c>
      <c r="U1" s="11" t="s">
        <v>17</v>
      </c>
      <c r="V1" s="11" t="s">
        <v>7</v>
      </c>
      <c r="W1" s="11" t="s">
        <v>18</v>
      </c>
      <c r="X1" s="56" t="s">
        <v>21</v>
      </c>
      <c r="Y1" s="11" t="s">
        <v>22</v>
      </c>
      <c r="Z1" s="12" t="s">
        <v>24</v>
      </c>
      <c r="AA1" s="11" t="s">
        <v>27</v>
      </c>
      <c r="AB1" s="11" t="s">
        <v>28</v>
      </c>
      <c r="AC1" s="11" t="s">
        <v>29</v>
      </c>
    </row>
    <row r="2" spans="1:29">
      <c r="A2" s="61">
        <v>2452</v>
      </c>
      <c r="B2" s="61" t="s">
        <v>65</v>
      </c>
      <c r="C2" s="61" t="s">
        <v>66</v>
      </c>
      <c r="D2" s="7" t="s">
        <v>67</v>
      </c>
      <c r="E2" s="4">
        <v>43485</v>
      </c>
      <c r="F2" s="4" t="s">
        <v>20</v>
      </c>
      <c r="G2" s="1">
        <v>1000000</v>
      </c>
      <c r="H2" s="5">
        <v>0.08</v>
      </c>
      <c r="I2" s="9">
        <f>+H2/12</f>
        <v>6.6666666666666671E-3</v>
      </c>
      <c r="J2" s="1">
        <f t="shared" ref="J2:J10" si="0">+G2*H2</f>
        <v>80000</v>
      </c>
      <c r="K2" s="7">
        <v>60</v>
      </c>
      <c r="L2" s="7">
        <v>12</v>
      </c>
      <c r="M2" s="1">
        <f t="shared" ref="M2:M8" si="1">+G2*I2*K2</f>
        <v>400000</v>
      </c>
      <c r="N2" s="57">
        <f t="shared" ref="N2:N10" si="2">+G2-M2</f>
        <v>600000</v>
      </c>
      <c r="O2" s="6">
        <v>103.108</v>
      </c>
      <c r="P2" s="6">
        <v>134.59399999999999</v>
      </c>
      <c r="Q2" s="6">
        <f>TRUNC(P2/O2,4)</f>
        <v>1.3052999999999999</v>
      </c>
      <c r="R2" s="58">
        <f>+N2*Q2</f>
        <v>783180</v>
      </c>
      <c r="S2" s="57">
        <f t="shared" ref="S2:S8" si="3">+G2*I2*L2</f>
        <v>80000</v>
      </c>
      <c r="T2" s="6">
        <f>+O2</f>
        <v>103.108</v>
      </c>
      <c r="U2" s="6">
        <f>+P2</f>
        <v>134.59399999999999</v>
      </c>
      <c r="V2" s="6">
        <f>TRUNC(U2/T2,4)</f>
        <v>1.3052999999999999</v>
      </c>
      <c r="W2" s="1">
        <f>+S2*V2</f>
        <v>104423.99999999999</v>
      </c>
      <c r="X2" s="58">
        <f>+W2*0.5</f>
        <v>52211.999999999993</v>
      </c>
      <c r="Y2" s="1">
        <f t="shared" ref="Y2:Y10" si="4">+R2-X2</f>
        <v>730968</v>
      </c>
      <c r="Z2" s="1">
        <f t="shared" ref="Z2:Z10" si="5">+Y2/12*L2</f>
        <v>730968</v>
      </c>
      <c r="AA2" s="1">
        <f t="shared" ref="AA2:AA10" si="6">+G2-M2-S2</f>
        <v>520000</v>
      </c>
      <c r="AB2" s="1">
        <f t="shared" ref="AB2:AB10" si="7">+AA2*V2</f>
        <v>678756</v>
      </c>
      <c r="AC2" s="7" t="s">
        <v>30</v>
      </c>
    </row>
    <row r="3" spans="1:29">
      <c r="A3" s="61">
        <v>45252</v>
      </c>
      <c r="B3" s="61" t="s">
        <v>68</v>
      </c>
      <c r="C3" s="61" t="s">
        <v>66</v>
      </c>
      <c r="D3" s="7" t="s">
        <v>67</v>
      </c>
      <c r="E3" s="4">
        <v>45371</v>
      </c>
      <c r="F3" s="4" t="s">
        <v>20</v>
      </c>
      <c r="G3" s="1">
        <v>700000</v>
      </c>
      <c r="H3" s="5">
        <v>0.08</v>
      </c>
      <c r="I3" s="9">
        <f t="shared" ref="I3:I10" si="8">+H3/12</f>
        <v>6.6666666666666671E-3</v>
      </c>
      <c r="J3" s="1">
        <f t="shared" si="0"/>
        <v>56000</v>
      </c>
      <c r="K3" s="7">
        <v>0</v>
      </c>
      <c r="L3" s="7">
        <v>10</v>
      </c>
      <c r="M3" s="1">
        <f t="shared" si="1"/>
        <v>0</v>
      </c>
      <c r="N3" s="57">
        <f t="shared" si="2"/>
        <v>700000</v>
      </c>
      <c r="O3" s="6">
        <v>134.065</v>
      </c>
      <c r="P3" s="6">
        <v>134.59399999999999</v>
      </c>
      <c r="Q3" s="6">
        <f t="shared" ref="Q3:Q5" si="9">TRUNC(P3/O3,4)</f>
        <v>1.0039</v>
      </c>
      <c r="R3" s="58">
        <f t="shared" ref="R3:R5" si="10">+N3*Q3</f>
        <v>702730</v>
      </c>
      <c r="S3" s="57">
        <f t="shared" si="3"/>
        <v>46666.666666666672</v>
      </c>
      <c r="T3" s="6">
        <f t="shared" ref="T3:T10" si="11">+O3</f>
        <v>134.065</v>
      </c>
      <c r="U3" s="6">
        <v>136.00299999999999</v>
      </c>
      <c r="V3" s="6">
        <f t="shared" ref="V3:V8" si="12">TRUNC(U3/T3,4)</f>
        <v>1.0144</v>
      </c>
      <c r="W3" s="1">
        <f t="shared" ref="W3:W5" si="13">+S3*V3</f>
        <v>47338.666666666672</v>
      </c>
      <c r="X3" s="58">
        <f t="shared" ref="X3:X10" si="14">+W3*0.5</f>
        <v>23669.333333333336</v>
      </c>
      <c r="Y3" s="1">
        <f t="shared" si="4"/>
        <v>679060.66666666663</v>
      </c>
      <c r="Z3" s="1">
        <f t="shared" si="5"/>
        <v>565883.88888888888</v>
      </c>
      <c r="AA3" s="1">
        <f t="shared" si="6"/>
        <v>653333.33333333337</v>
      </c>
      <c r="AB3" s="1">
        <f t="shared" si="7"/>
        <v>662741.33333333337</v>
      </c>
      <c r="AC3" s="7" t="s">
        <v>30</v>
      </c>
    </row>
    <row r="4" spans="1:29">
      <c r="A4" s="61">
        <v>48482</v>
      </c>
      <c r="B4" s="61" t="s">
        <v>69</v>
      </c>
      <c r="C4" s="61" t="s">
        <v>66</v>
      </c>
      <c r="D4" s="7" t="s">
        <v>67</v>
      </c>
      <c r="E4" s="4">
        <v>45493</v>
      </c>
      <c r="F4" s="4" t="s">
        <v>20</v>
      </c>
      <c r="G4" s="1">
        <v>500000</v>
      </c>
      <c r="H4" s="5">
        <v>0.08</v>
      </c>
      <c r="I4" s="9">
        <f t="shared" si="8"/>
        <v>6.6666666666666671E-3</v>
      </c>
      <c r="J4" s="1">
        <f t="shared" si="0"/>
        <v>40000</v>
      </c>
      <c r="K4" s="7">
        <v>0</v>
      </c>
      <c r="L4" s="7">
        <v>6</v>
      </c>
      <c r="M4" s="1">
        <f t="shared" si="1"/>
        <v>0</v>
      </c>
      <c r="N4" s="57">
        <f t="shared" si="2"/>
        <v>500000</v>
      </c>
      <c r="O4" s="6">
        <v>134.59399999999999</v>
      </c>
      <c r="P4" s="6">
        <v>134.59399999999999</v>
      </c>
      <c r="Q4" s="6">
        <f t="shared" si="9"/>
        <v>1</v>
      </c>
      <c r="R4" s="58">
        <f t="shared" si="10"/>
        <v>500000</v>
      </c>
      <c r="S4" s="57">
        <f t="shared" si="3"/>
        <v>20000</v>
      </c>
      <c r="T4" s="6">
        <f t="shared" si="11"/>
        <v>134.59399999999999</v>
      </c>
      <c r="U4" s="6">
        <v>136.08000000000001</v>
      </c>
      <c r="V4" s="6">
        <f t="shared" si="12"/>
        <v>1.0109999999999999</v>
      </c>
      <c r="W4" s="1">
        <f t="shared" si="13"/>
        <v>20219.999999999996</v>
      </c>
      <c r="X4" s="58">
        <f t="shared" si="14"/>
        <v>10109.999999999998</v>
      </c>
      <c r="Y4" s="1">
        <f t="shared" si="4"/>
        <v>489890</v>
      </c>
      <c r="Z4" s="1">
        <f t="shared" si="5"/>
        <v>244945</v>
      </c>
      <c r="AA4" s="1">
        <f t="shared" si="6"/>
        <v>480000</v>
      </c>
      <c r="AB4" s="1">
        <f t="shared" si="7"/>
        <v>485279.99999999994</v>
      </c>
      <c r="AC4" s="7" t="s">
        <v>30</v>
      </c>
    </row>
    <row r="5" spans="1:29">
      <c r="A5" s="61">
        <v>48483</v>
      </c>
      <c r="B5" s="61" t="s">
        <v>70</v>
      </c>
      <c r="C5" s="61" t="s">
        <v>66</v>
      </c>
      <c r="D5" s="7" t="s">
        <v>67</v>
      </c>
      <c r="E5" s="4">
        <v>43332</v>
      </c>
      <c r="F5" s="4">
        <v>45524</v>
      </c>
      <c r="G5" s="1">
        <v>400000</v>
      </c>
      <c r="H5" s="5">
        <v>0.08</v>
      </c>
      <c r="I5" s="9">
        <f t="shared" si="8"/>
        <v>6.6666666666666671E-3</v>
      </c>
      <c r="J5" s="1">
        <f t="shared" si="0"/>
        <v>32000</v>
      </c>
      <c r="K5" s="7">
        <v>65</v>
      </c>
      <c r="L5" s="7">
        <v>8</v>
      </c>
      <c r="M5" s="1">
        <f t="shared" si="1"/>
        <v>173333.33333333334</v>
      </c>
      <c r="N5" s="57">
        <f t="shared" si="2"/>
        <v>226666.66666666666</v>
      </c>
      <c r="O5" s="6">
        <v>100.492</v>
      </c>
      <c r="P5" s="6">
        <v>134.59399999999999</v>
      </c>
      <c r="Q5" s="6">
        <f t="shared" si="9"/>
        <v>1.3392999999999999</v>
      </c>
      <c r="R5" s="58">
        <f t="shared" si="10"/>
        <v>303574.66666666663</v>
      </c>
      <c r="S5" s="57">
        <f t="shared" si="3"/>
        <v>21333.333333333336</v>
      </c>
      <c r="T5" s="6">
        <f t="shared" si="11"/>
        <v>100.492</v>
      </c>
      <c r="U5" s="6">
        <v>134.33600000000001</v>
      </c>
      <c r="V5" s="6">
        <f t="shared" si="12"/>
        <v>1.3367</v>
      </c>
      <c r="W5" s="1">
        <f t="shared" si="13"/>
        <v>28516.26666666667</v>
      </c>
      <c r="X5" s="58">
        <f t="shared" si="14"/>
        <v>14258.133333333335</v>
      </c>
      <c r="Y5" s="1">
        <f t="shared" si="4"/>
        <v>289316.53333333327</v>
      </c>
      <c r="Z5" s="1">
        <f t="shared" si="5"/>
        <v>192877.68888888884</v>
      </c>
      <c r="AA5" s="1">
        <f t="shared" si="6"/>
        <v>205333.33333333331</v>
      </c>
      <c r="AB5" s="1">
        <f t="shared" si="7"/>
        <v>274469.06666666665</v>
      </c>
      <c r="AC5" s="7" t="s">
        <v>31</v>
      </c>
    </row>
    <row r="6" spans="1:29">
      <c r="A6" s="61">
        <v>48484</v>
      </c>
      <c r="B6" s="61" t="s">
        <v>71</v>
      </c>
      <c r="C6" s="61" t="s">
        <v>76</v>
      </c>
      <c r="D6" s="7" t="s">
        <v>32</v>
      </c>
      <c r="E6" s="4">
        <v>29240</v>
      </c>
      <c r="F6" s="4">
        <v>45524</v>
      </c>
      <c r="G6" s="1">
        <v>30000</v>
      </c>
      <c r="H6" s="59">
        <v>0</v>
      </c>
      <c r="I6" s="60">
        <f t="shared" si="8"/>
        <v>0</v>
      </c>
      <c r="J6" s="1">
        <f t="shared" si="0"/>
        <v>0</v>
      </c>
      <c r="K6" s="7">
        <v>516</v>
      </c>
      <c r="L6" s="7">
        <v>8</v>
      </c>
      <c r="M6" s="1">
        <f t="shared" si="1"/>
        <v>0</v>
      </c>
      <c r="N6" s="57">
        <f t="shared" si="2"/>
        <v>30000</v>
      </c>
      <c r="O6" s="6">
        <v>0.35799999999999998</v>
      </c>
      <c r="P6" s="6">
        <v>134.59399999999999</v>
      </c>
      <c r="Q6" s="6">
        <f t="shared" ref="Q6:Q8" si="15">TRUNC(P6/O6,4)</f>
        <v>375.96080000000001</v>
      </c>
      <c r="R6" s="58">
        <f t="shared" ref="R6:R8" si="16">+N6*Q6</f>
        <v>11278824</v>
      </c>
      <c r="S6" s="57">
        <f t="shared" si="3"/>
        <v>0</v>
      </c>
      <c r="T6" s="6">
        <f t="shared" si="11"/>
        <v>0.35799999999999998</v>
      </c>
      <c r="U6" s="6">
        <v>134.33600000000001</v>
      </c>
      <c r="V6" s="6">
        <f t="shared" si="12"/>
        <v>375.24020000000002</v>
      </c>
      <c r="W6" s="1">
        <f t="shared" ref="W6:W8" si="17">+S6*V6</f>
        <v>0</v>
      </c>
      <c r="X6" s="58">
        <f t="shared" si="14"/>
        <v>0</v>
      </c>
      <c r="Y6" s="1">
        <f t="shared" si="4"/>
        <v>11278824</v>
      </c>
      <c r="Z6" s="1">
        <f t="shared" si="5"/>
        <v>7519216</v>
      </c>
      <c r="AA6" s="1">
        <f t="shared" si="6"/>
        <v>30000</v>
      </c>
      <c r="AB6" s="1">
        <f t="shared" si="7"/>
        <v>11257206</v>
      </c>
      <c r="AC6" s="7" t="s">
        <v>31</v>
      </c>
    </row>
    <row r="7" spans="1:29">
      <c r="A7" s="61">
        <v>48485</v>
      </c>
      <c r="B7" s="61" t="s">
        <v>72</v>
      </c>
      <c r="C7" s="61" t="s">
        <v>77</v>
      </c>
      <c r="D7" s="7" t="s">
        <v>32</v>
      </c>
      <c r="E7" s="4">
        <v>41438</v>
      </c>
      <c r="F7" s="4" t="s">
        <v>20</v>
      </c>
      <c r="G7" s="1">
        <v>300000</v>
      </c>
      <c r="H7" s="59">
        <v>0</v>
      </c>
      <c r="I7" s="60">
        <f t="shared" si="8"/>
        <v>0</v>
      </c>
      <c r="J7" s="1">
        <f t="shared" si="0"/>
        <v>0</v>
      </c>
      <c r="K7" s="7">
        <v>120</v>
      </c>
      <c r="L7" s="7">
        <v>12</v>
      </c>
      <c r="M7" s="1">
        <f t="shared" si="1"/>
        <v>0</v>
      </c>
      <c r="N7" s="57">
        <f t="shared" si="2"/>
        <v>300000</v>
      </c>
      <c r="O7" s="6">
        <v>80.893000000000001</v>
      </c>
      <c r="P7" s="6">
        <v>134.59399999999999</v>
      </c>
      <c r="Q7" s="6">
        <f t="shared" si="15"/>
        <v>1.6637999999999999</v>
      </c>
      <c r="R7" s="58">
        <f t="shared" si="16"/>
        <v>499140</v>
      </c>
      <c r="S7" s="57">
        <f t="shared" si="3"/>
        <v>0</v>
      </c>
      <c r="T7" s="6">
        <f t="shared" si="11"/>
        <v>80.893000000000001</v>
      </c>
      <c r="U7" s="6">
        <v>134.59399999999999</v>
      </c>
      <c r="V7" s="6">
        <f t="shared" si="12"/>
        <v>1.6637999999999999</v>
      </c>
      <c r="W7" s="1">
        <f t="shared" si="17"/>
        <v>0</v>
      </c>
      <c r="X7" s="58">
        <f t="shared" si="14"/>
        <v>0</v>
      </c>
      <c r="Y7" s="1">
        <f t="shared" si="4"/>
        <v>499140</v>
      </c>
      <c r="Z7" s="1">
        <f t="shared" si="5"/>
        <v>499140</v>
      </c>
      <c r="AA7" s="1">
        <f t="shared" si="6"/>
        <v>300000</v>
      </c>
      <c r="AB7" s="1">
        <f t="shared" si="7"/>
        <v>499140</v>
      </c>
      <c r="AC7" s="7" t="s">
        <v>30</v>
      </c>
    </row>
    <row r="8" spans="1:29">
      <c r="A8" s="61">
        <v>48486</v>
      </c>
      <c r="B8" s="61" t="s">
        <v>73</v>
      </c>
      <c r="C8" s="61" t="s">
        <v>78</v>
      </c>
      <c r="D8" s="7" t="s">
        <v>32</v>
      </c>
      <c r="E8" s="4">
        <v>45402</v>
      </c>
      <c r="F8" s="4" t="s">
        <v>20</v>
      </c>
      <c r="G8" s="1">
        <v>650000</v>
      </c>
      <c r="H8" s="59">
        <v>0</v>
      </c>
      <c r="I8" s="60">
        <f t="shared" si="8"/>
        <v>0</v>
      </c>
      <c r="J8" s="1">
        <f t="shared" si="0"/>
        <v>0</v>
      </c>
      <c r="K8" s="7">
        <v>0</v>
      </c>
      <c r="L8" s="7">
        <v>9</v>
      </c>
      <c r="M8" s="1">
        <f t="shared" si="1"/>
        <v>0</v>
      </c>
      <c r="N8" s="57">
        <f t="shared" si="2"/>
        <v>650000</v>
      </c>
      <c r="O8" s="6">
        <v>134.33600000000001</v>
      </c>
      <c r="P8" s="6">
        <v>134.59399999999999</v>
      </c>
      <c r="Q8" s="6">
        <f t="shared" si="15"/>
        <v>1.0019</v>
      </c>
      <c r="R8" s="58">
        <f t="shared" si="16"/>
        <v>651235</v>
      </c>
      <c r="S8" s="57">
        <f t="shared" si="3"/>
        <v>0</v>
      </c>
      <c r="T8" s="6">
        <f t="shared" si="11"/>
        <v>134.33600000000001</v>
      </c>
      <c r="U8" s="6">
        <v>136.00299999999999</v>
      </c>
      <c r="V8" s="6">
        <f t="shared" si="12"/>
        <v>1.0124</v>
      </c>
      <c r="W8" s="1">
        <f t="shared" si="17"/>
        <v>0</v>
      </c>
      <c r="X8" s="58">
        <f t="shared" si="14"/>
        <v>0</v>
      </c>
      <c r="Y8" s="1">
        <f t="shared" si="4"/>
        <v>651235</v>
      </c>
      <c r="Z8" s="1">
        <f t="shared" si="5"/>
        <v>488426.25</v>
      </c>
      <c r="AA8" s="1">
        <f t="shared" si="6"/>
        <v>650000</v>
      </c>
      <c r="AB8" s="1">
        <f t="shared" si="7"/>
        <v>658060</v>
      </c>
      <c r="AC8" s="7" t="s">
        <v>30</v>
      </c>
    </row>
    <row r="9" spans="1:29">
      <c r="A9" s="61">
        <v>48488</v>
      </c>
      <c r="B9" s="61" t="s">
        <v>74</v>
      </c>
      <c r="C9" s="61" t="s">
        <v>79</v>
      </c>
      <c r="D9" s="7" t="s">
        <v>33</v>
      </c>
      <c r="E9" s="4">
        <v>29240</v>
      </c>
      <c r="F9" s="4">
        <v>45524</v>
      </c>
      <c r="G9" s="1">
        <v>120000</v>
      </c>
      <c r="H9" s="59">
        <v>0.05</v>
      </c>
      <c r="I9" s="60">
        <f t="shared" si="8"/>
        <v>4.1666666666666666E-3</v>
      </c>
      <c r="J9" s="1">
        <f t="shared" si="0"/>
        <v>6000</v>
      </c>
      <c r="K9" s="7">
        <v>516</v>
      </c>
      <c r="L9" s="7">
        <v>8</v>
      </c>
      <c r="M9" s="1">
        <v>120000</v>
      </c>
      <c r="N9" s="57">
        <f t="shared" si="2"/>
        <v>0</v>
      </c>
      <c r="O9" s="6">
        <v>0.35799999999999998</v>
      </c>
      <c r="P9" s="6">
        <v>134.59399999999999</v>
      </c>
      <c r="Q9" s="6">
        <f t="shared" ref="Q9:Q10" si="18">TRUNC(P9/O9,4)</f>
        <v>375.96080000000001</v>
      </c>
      <c r="R9" s="58">
        <f t="shared" ref="R9:R10" si="19">+N9*Q9</f>
        <v>0</v>
      </c>
      <c r="S9" s="57">
        <v>0</v>
      </c>
      <c r="T9" s="6">
        <f t="shared" si="11"/>
        <v>0.35799999999999998</v>
      </c>
      <c r="U9" s="6">
        <v>134.33600000000001</v>
      </c>
      <c r="V9" s="6">
        <f t="shared" ref="V9:V10" si="20">TRUNC(U9/T9,4)</f>
        <v>375.24020000000002</v>
      </c>
      <c r="W9" s="1">
        <f t="shared" ref="W9:W10" si="21">+S9*V9</f>
        <v>0</v>
      </c>
      <c r="X9" s="58">
        <f t="shared" si="14"/>
        <v>0</v>
      </c>
      <c r="Y9" s="1">
        <f t="shared" si="4"/>
        <v>0</v>
      </c>
      <c r="Z9" s="1">
        <f t="shared" si="5"/>
        <v>0</v>
      </c>
      <c r="AA9" s="1">
        <f t="shared" si="6"/>
        <v>0</v>
      </c>
      <c r="AB9" s="1">
        <f t="shared" si="7"/>
        <v>0</v>
      </c>
      <c r="AC9" s="7" t="s">
        <v>31</v>
      </c>
    </row>
    <row r="10" spans="1:29">
      <c r="A10" s="61">
        <v>48489</v>
      </c>
      <c r="B10" s="61" t="s">
        <v>75</v>
      </c>
      <c r="C10" s="61" t="s">
        <v>80</v>
      </c>
      <c r="D10" s="7" t="s">
        <v>33</v>
      </c>
      <c r="E10" s="4">
        <v>41438</v>
      </c>
      <c r="F10" s="4" t="s">
        <v>20</v>
      </c>
      <c r="G10" s="1">
        <v>1200000</v>
      </c>
      <c r="H10" s="5">
        <v>0.05</v>
      </c>
      <c r="I10" s="9">
        <f t="shared" si="8"/>
        <v>4.1666666666666666E-3</v>
      </c>
      <c r="J10" s="1">
        <f t="shared" si="0"/>
        <v>60000</v>
      </c>
      <c r="K10" s="7">
        <v>115</v>
      </c>
      <c r="L10" s="7">
        <v>12</v>
      </c>
      <c r="M10" s="1">
        <f>+G10*I10*K10</f>
        <v>575000</v>
      </c>
      <c r="N10" s="57">
        <f t="shared" si="2"/>
        <v>625000</v>
      </c>
      <c r="O10" s="6">
        <v>80.893000000000001</v>
      </c>
      <c r="P10" s="6">
        <v>134.59399999999999</v>
      </c>
      <c r="Q10" s="6">
        <f t="shared" si="18"/>
        <v>1.6637999999999999</v>
      </c>
      <c r="R10" s="58">
        <f t="shared" si="19"/>
        <v>1039875</v>
      </c>
      <c r="S10" s="57">
        <f>+G10*I10*L10</f>
        <v>60000</v>
      </c>
      <c r="T10" s="6">
        <f t="shared" si="11"/>
        <v>80.893000000000001</v>
      </c>
      <c r="U10" s="6">
        <v>134.59399999999999</v>
      </c>
      <c r="V10" s="6">
        <f t="shared" si="20"/>
        <v>1.6637999999999999</v>
      </c>
      <c r="W10" s="1">
        <f t="shared" si="21"/>
        <v>99828</v>
      </c>
      <c r="X10" s="58">
        <f t="shared" si="14"/>
        <v>49914</v>
      </c>
      <c r="Y10" s="1">
        <f t="shared" si="4"/>
        <v>989961</v>
      </c>
      <c r="Z10" s="1">
        <f t="shared" si="5"/>
        <v>989961</v>
      </c>
      <c r="AA10" s="1">
        <f t="shared" si="6"/>
        <v>565000</v>
      </c>
      <c r="AB10" s="1">
        <f t="shared" si="7"/>
        <v>940047</v>
      </c>
      <c r="AC10" s="7" t="s">
        <v>30</v>
      </c>
    </row>
    <row r="13" spans="1:29">
      <c r="A13" t="s">
        <v>81</v>
      </c>
    </row>
    <row r="14" spans="1:29">
      <c r="A14" t="s">
        <v>82</v>
      </c>
    </row>
    <row r="16" spans="1:29">
      <c r="A16" t="s">
        <v>83</v>
      </c>
    </row>
    <row r="18" spans="1:1">
      <c r="A18" t="s">
        <v>84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D79A-4B07-4F62-96E5-0587AA1D4906}">
  <dimension ref="A3:V132"/>
  <sheetViews>
    <sheetView topLeftCell="A5" zoomScale="140" zoomScaleNormal="140" workbookViewId="0">
      <selection activeCell="A5" sqref="A5:XFD6"/>
    </sheetView>
  </sheetViews>
  <sheetFormatPr baseColWidth="10" defaultColWidth="8.83203125" defaultRowHeight="12"/>
  <cols>
    <col min="1" max="1" width="6.1640625" style="1" customWidth="1"/>
    <col min="2" max="4" width="8.83203125" style="1"/>
    <col min="5" max="5" width="5.6640625" style="1" customWidth="1"/>
    <col min="6" max="6" width="7.5" style="1" customWidth="1"/>
    <col min="7" max="11" width="8.83203125" style="1"/>
    <col min="12" max="13" width="9.1640625" style="1" customWidth="1"/>
    <col min="14" max="14" width="9" style="1" customWidth="1"/>
    <col min="15" max="15" width="9.6640625" style="1" customWidth="1"/>
    <col min="16" max="16" width="1.6640625" style="1" customWidth="1"/>
    <col min="17" max="17" width="8.83203125" style="1"/>
    <col min="18" max="18" width="9.5" style="1" customWidth="1"/>
    <col min="19" max="19" width="10.5" style="1" customWidth="1"/>
    <col min="20" max="20" width="1.1640625" style="1" customWidth="1"/>
    <col min="21" max="21" width="26.5" style="1" customWidth="1"/>
    <col min="22" max="16384" width="8.83203125" style="1"/>
  </cols>
  <sheetData>
    <row r="3" spans="1:22">
      <c r="B3" s="10" t="s">
        <v>54</v>
      </c>
    </row>
    <row r="4" spans="1:22">
      <c r="B4" s="10" t="s">
        <v>25</v>
      </c>
      <c r="L4" s="8"/>
      <c r="M4" s="21"/>
      <c r="N4" s="21"/>
      <c r="O4" s="21"/>
      <c r="P4" s="8"/>
    </row>
    <row r="5" spans="1:22" s="2" customFormat="1" ht="53" thickBot="1">
      <c r="A5" s="11" t="s">
        <v>8</v>
      </c>
      <c r="B5" s="11" t="s">
        <v>5</v>
      </c>
      <c r="C5" s="11" t="s">
        <v>19</v>
      </c>
      <c r="D5" s="11" t="s">
        <v>0</v>
      </c>
      <c r="E5" s="11" t="s">
        <v>13</v>
      </c>
      <c r="F5" s="11" t="s">
        <v>14</v>
      </c>
      <c r="G5" s="11" t="s">
        <v>3</v>
      </c>
      <c r="H5" s="11" t="s">
        <v>49</v>
      </c>
      <c r="I5" s="11" t="s">
        <v>46</v>
      </c>
      <c r="J5" s="11" t="s">
        <v>16</v>
      </c>
      <c r="K5" s="11" t="s">
        <v>26</v>
      </c>
      <c r="L5" s="11" t="s">
        <v>2</v>
      </c>
      <c r="M5" s="11" t="s">
        <v>11</v>
      </c>
      <c r="N5" s="11" t="s">
        <v>47</v>
      </c>
      <c r="O5" s="11" t="s">
        <v>51</v>
      </c>
      <c r="P5" s="11"/>
      <c r="Q5" s="11" t="s">
        <v>50</v>
      </c>
      <c r="R5" s="11" t="s">
        <v>48</v>
      </c>
      <c r="S5" s="12" t="s">
        <v>52</v>
      </c>
      <c r="U5" s="2" t="s">
        <v>35</v>
      </c>
    </row>
    <row r="6" spans="1:22">
      <c r="A6" s="7" t="s">
        <v>9</v>
      </c>
      <c r="B6" s="4">
        <v>43485</v>
      </c>
      <c r="C6" s="4" t="s">
        <v>20</v>
      </c>
      <c r="D6" s="1">
        <v>100000</v>
      </c>
      <c r="E6" s="5">
        <v>0.08</v>
      </c>
      <c r="F6" s="9">
        <f>+E6/12</f>
        <v>6.6666666666666671E-3</v>
      </c>
      <c r="G6" s="1">
        <f>+D6*E6</f>
        <v>8000</v>
      </c>
      <c r="H6" s="7">
        <v>60</v>
      </c>
      <c r="I6" s="7">
        <v>6</v>
      </c>
      <c r="J6" s="7">
        <v>12</v>
      </c>
      <c r="K6" s="1">
        <f>+D6*F6*H6</f>
        <v>40000.000000000007</v>
      </c>
      <c r="L6" s="1">
        <f>+D6-K6</f>
        <v>59999.999999999993</v>
      </c>
      <c r="M6" s="1">
        <f>+D6*F6*I6</f>
        <v>4000.0000000000005</v>
      </c>
      <c r="N6" s="1">
        <f>+L6-M6</f>
        <v>55999.999999999993</v>
      </c>
      <c r="O6" s="1">
        <f>+N6/12*J6</f>
        <v>55999.999999999993</v>
      </c>
      <c r="Q6" s="1">
        <f>IF(O6&gt;(D6*0.1),O6,(D6*0.1))</f>
        <v>55999.999999999993</v>
      </c>
      <c r="R6" s="26">
        <v>18.247800000000002</v>
      </c>
      <c r="S6" s="22">
        <f>+Q6*R6</f>
        <v>1021876.7999999999</v>
      </c>
      <c r="U6" s="24" t="s">
        <v>36</v>
      </c>
      <c r="V6" s="1" t="s">
        <v>55</v>
      </c>
    </row>
    <row r="7" spans="1:22">
      <c r="A7" s="7" t="s">
        <v>9</v>
      </c>
      <c r="B7" s="4">
        <v>45371</v>
      </c>
      <c r="C7" s="4" t="s">
        <v>20</v>
      </c>
      <c r="D7" s="1">
        <v>60000</v>
      </c>
      <c r="E7" s="5">
        <v>0.08</v>
      </c>
      <c r="F7" s="9">
        <f t="shared" ref="F7:F10" si="0">+E7/12</f>
        <v>6.6666666666666671E-3</v>
      </c>
      <c r="G7" s="1">
        <f>+D7*E7</f>
        <v>4800</v>
      </c>
      <c r="H7" s="7">
        <v>0</v>
      </c>
      <c r="I7" s="7">
        <v>5</v>
      </c>
      <c r="J7" s="7">
        <v>10</v>
      </c>
      <c r="K7" s="1">
        <f>+D7*F7*H7</f>
        <v>0</v>
      </c>
      <c r="L7" s="1">
        <f>+D7-K7</f>
        <v>60000</v>
      </c>
      <c r="M7" s="1">
        <f>+D7*F7*I7</f>
        <v>2000</v>
      </c>
      <c r="N7" s="1">
        <f>+L7-M7</f>
        <v>58000</v>
      </c>
      <c r="O7" s="1">
        <f>+N7/12*J7</f>
        <v>48333.333333333328</v>
      </c>
      <c r="Q7" s="1">
        <f>IF(O7&gt;(D7*0.1),O7,(D7*0.1))</f>
        <v>48333.333333333328</v>
      </c>
      <c r="R7" s="26">
        <v>18.247800000000002</v>
      </c>
      <c r="S7" s="22">
        <f t="shared" ref="S7:S10" si="1">+Q7*R7</f>
        <v>881977</v>
      </c>
      <c r="U7" s="25" t="s">
        <v>37</v>
      </c>
      <c r="V7" s="1" t="s">
        <v>56</v>
      </c>
    </row>
    <row r="8" spans="1:22">
      <c r="A8" s="7" t="s">
        <v>9</v>
      </c>
      <c r="B8" s="4">
        <v>45493</v>
      </c>
      <c r="C8" s="4" t="s">
        <v>20</v>
      </c>
      <c r="D8" s="1">
        <v>550000</v>
      </c>
      <c r="E8" s="5">
        <v>0.08</v>
      </c>
      <c r="F8" s="9">
        <f t="shared" si="0"/>
        <v>6.6666666666666671E-3</v>
      </c>
      <c r="G8" s="1">
        <f>+D8*E8</f>
        <v>44000</v>
      </c>
      <c r="H8" s="7">
        <v>0</v>
      </c>
      <c r="I8" s="7">
        <v>3</v>
      </c>
      <c r="J8" s="7">
        <v>6</v>
      </c>
      <c r="K8" s="1">
        <f>+D8*F8*H8</f>
        <v>0</v>
      </c>
      <c r="L8" s="1">
        <f>+D8-K8</f>
        <v>550000</v>
      </c>
      <c r="M8" s="1">
        <f>+D8*F8*I8</f>
        <v>11000</v>
      </c>
      <c r="N8" s="1">
        <f>+L8-M8</f>
        <v>539000</v>
      </c>
      <c r="O8" s="1">
        <f>+N8/12*J8</f>
        <v>269500</v>
      </c>
      <c r="Q8" s="1">
        <f>IF(O8&gt;(D8*0.1),O8,(D8*0.1))</f>
        <v>269500</v>
      </c>
      <c r="R8" s="26">
        <v>18.247800000000002</v>
      </c>
      <c r="S8" s="22">
        <f t="shared" si="1"/>
        <v>4917782.1000000006</v>
      </c>
      <c r="U8" s="25" t="s">
        <v>38</v>
      </c>
      <c r="V8" s="1" t="s">
        <v>58</v>
      </c>
    </row>
    <row r="9" spans="1:22">
      <c r="A9" s="7" t="s">
        <v>9</v>
      </c>
      <c r="B9" s="4">
        <v>43332</v>
      </c>
      <c r="C9" s="4">
        <v>45524</v>
      </c>
      <c r="D9" s="1">
        <v>200000</v>
      </c>
      <c r="E9" s="5">
        <v>0.08</v>
      </c>
      <c r="F9" s="9">
        <f t="shared" si="0"/>
        <v>6.6666666666666671E-3</v>
      </c>
      <c r="G9" s="1">
        <f>+D9*E9</f>
        <v>16000</v>
      </c>
      <c r="H9" s="7">
        <v>65</v>
      </c>
      <c r="I9" s="7">
        <v>4</v>
      </c>
      <c r="J9" s="7">
        <v>8</v>
      </c>
      <c r="K9" s="1">
        <f>+D9*F9*H9</f>
        <v>86666.666666666672</v>
      </c>
      <c r="L9" s="1">
        <f>+D9-K9</f>
        <v>113333.33333333333</v>
      </c>
      <c r="M9" s="1">
        <f>+D9*F9*I9</f>
        <v>5333.3333333333339</v>
      </c>
      <c r="N9" s="1">
        <f>+L9-M9</f>
        <v>108000</v>
      </c>
      <c r="O9" s="1">
        <f>+N9/12*J9</f>
        <v>72000</v>
      </c>
      <c r="Q9" s="1">
        <f>IF(O9&gt;(D9*0.1),O9,(D9*0.1))</f>
        <v>72000</v>
      </c>
      <c r="R9" s="26">
        <v>18.247800000000002</v>
      </c>
      <c r="S9" s="22">
        <f t="shared" si="1"/>
        <v>1313841.6000000001</v>
      </c>
      <c r="U9" s="25" t="s">
        <v>39</v>
      </c>
      <c r="V9" s="1" t="s">
        <v>57</v>
      </c>
    </row>
    <row r="10" spans="1:22">
      <c r="A10" s="7" t="s">
        <v>9</v>
      </c>
      <c r="B10" s="4">
        <v>40928</v>
      </c>
      <c r="C10" s="4" t="s">
        <v>20</v>
      </c>
      <c r="D10" s="1">
        <v>800000</v>
      </c>
      <c r="E10" s="5">
        <v>0.08</v>
      </c>
      <c r="F10" s="9">
        <f t="shared" si="0"/>
        <v>6.6666666666666671E-3</v>
      </c>
      <c r="G10" s="1">
        <f>+D10*E10</f>
        <v>64000</v>
      </c>
      <c r="H10" s="7">
        <v>132</v>
      </c>
      <c r="I10" s="7">
        <v>6</v>
      </c>
      <c r="J10" s="7">
        <v>12</v>
      </c>
      <c r="K10" s="1">
        <f>+D10*F10*H10</f>
        <v>704000.00000000012</v>
      </c>
      <c r="L10" s="1">
        <f>+D10-K10</f>
        <v>95999.999999999884</v>
      </c>
      <c r="M10" s="1">
        <f>+D10*F10*I10</f>
        <v>32000.000000000004</v>
      </c>
      <c r="N10" s="1">
        <f>+L10-M10</f>
        <v>63999.999999999884</v>
      </c>
      <c r="O10" s="1">
        <f>+N10/12*J10</f>
        <v>63999.999999999884</v>
      </c>
      <c r="Q10" s="1">
        <f>IF(O10&gt;(D10*0.1),O10,(D10*0.1))</f>
        <v>80000</v>
      </c>
      <c r="R10" s="26">
        <v>18.247800000000002</v>
      </c>
      <c r="S10" s="22">
        <f t="shared" si="1"/>
        <v>1459824.0000000002</v>
      </c>
      <c r="U10" s="27" t="s">
        <v>53</v>
      </c>
      <c r="V10" s="1" t="s">
        <v>60</v>
      </c>
    </row>
    <row r="11" spans="1:22">
      <c r="A11" s="7"/>
      <c r="B11" s="4"/>
      <c r="C11" s="4"/>
      <c r="E11" s="5"/>
      <c r="F11" s="5"/>
      <c r="H11" s="7"/>
      <c r="I11" s="7"/>
      <c r="J11" s="7"/>
      <c r="S11" s="22"/>
    </row>
    <row r="12" spans="1:22" ht="13" thickBot="1">
      <c r="A12" s="14"/>
      <c r="B12" s="15" t="s">
        <v>34</v>
      </c>
      <c r="C12" s="15"/>
      <c r="D12" s="16">
        <f>SUM(D6:D11)</f>
        <v>1710000</v>
      </c>
      <c r="E12" s="17"/>
      <c r="F12" s="17"/>
      <c r="G12" s="16">
        <f>SUM(G6:G11)</f>
        <v>136800</v>
      </c>
      <c r="H12" s="18"/>
      <c r="I12" s="18"/>
      <c r="J12" s="18"/>
      <c r="K12" s="16">
        <f>SUM(K6:K11)</f>
        <v>830666.66666666674</v>
      </c>
      <c r="L12" s="16">
        <f>SUM(L6:L11)</f>
        <v>879333.33333333326</v>
      </c>
      <c r="M12" s="16">
        <f>SUM(M6:M11)</f>
        <v>54333.333333333343</v>
      </c>
      <c r="N12" s="16">
        <f>SUM(N6:N11)</f>
        <v>824999.99999999988</v>
      </c>
      <c r="O12" s="16">
        <f>SUM(O6:O11)</f>
        <v>509833.3333333332</v>
      </c>
      <c r="P12" s="16"/>
      <c r="Q12" s="16">
        <f>SUM(Q6:Q11)</f>
        <v>525833.33333333326</v>
      </c>
      <c r="R12" s="16"/>
      <c r="S12" s="19">
        <f>SUM(S6:S11)</f>
        <v>9595301.5</v>
      </c>
      <c r="V12" s="1" t="s">
        <v>59</v>
      </c>
    </row>
    <row r="13" spans="1:22">
      <c r="A13" s="7"/>
      <c r="B13" s="4"/>
      <c r="C13" s="4"/>
      <c r="E13" s="5"/>
      <c r="F13" s="5"/>
      <c r="S13" s="7"/>
    </row>
    <row r="14" spans="1:22">
      <c r="A14" s="7"/>
      <c r="B14" s="4"/>
      <c r="C14" s="4"/>
      <c r="E14" s="5"/>
      <c r="F14" s="5"/>
    </row>
    <row r="15" spans="1:22">
      <c r="B15" s="4"/>
      <c r="C15" s="4"/>
      <c r="E15" s="5"/>
      <c r="F15" s="5"/>
    </row>
    <row r="16" spans="1:22">
      <c r="B16" s="4"/>
      <c r="C16" s="4"/>
      <c r="E16" s="5"/>
      <c r="F16" s="5"/>
    </row>
    <row r="17" spans="2:6">
      <c r="B17" s="3"/>
      <c r="C17" s="3"/>
      <c r="E17" s="5"/>
      <c r="F17" s="5"/>
    </row>
    <row r="18" spans="2:6">
      <c r="E18" s="5"/>
      <c r="F18" s="5"/>
    </row>
    <row r="19" spans="2:6">
      <c r="E19" s="5"/>
      <c r="F19" s="5"/>
    </row>
    <row r="20" spans="2:6">
      <c r="E20" s="5"/>
      <c r="F20" s="5"/>
    </row>
    <row r="21" spans="2:6">
      <c r="E21" s="5"/>
      <c r="F21" s="5"/>
    </row>
    <row r="22" spans="2:6">
      <c r="E22" s="5"/>
      <c r="F22" s="5"/>
    </row>
    <row r="23" spans="2:6">
      <c r="E23" s="5"/>
      <c r="F23" s="5"/>
    </row>
    <row r="24" spans="2:6">
      <c r="E24" s="5"/>
      <c r="F24" s="5"/>
    </row>
    <row r="25" spans="2:6">
      <c r="E25" s="5"/>
      <c r="F25" s="5"/>
    </row>
    <row r="26" spans="2:6">
      <c r="E26" s="5"/>
      <c r="F26" s="5"/>
    </row>
    <row r="27" spans="2:6">
      <c r="E27" s="5"/>
      <c r="F27" s="5"/>
    </row>
    <row r="28" spans="2:6">
      <c r="E28" s="5"/>
      <c r="F28" s="5"/>
    </row>
    <row r="29" spans="2:6">
      <c r="E29" s="5"/>
      <c r="F29" s="5"/>
    </row>
    <row r="30" spans="2:6">
      <c r="E30" s="5"/>
      <c r="F30" s="5"/>
    </row>
    <row r="31" spans="2:6">
      <c r="E31" s="5"/>
      <c r="F31" s="5"/>
    </row>
    <row r="32" spans="2:6">
      <c r="E32" s="5"/>
      <c r="F32" s="5"/>
    </row>
    <row r="33" spans="5:6">
      <c r="E33" s="5"/>
      <c r="F33" s="5"/>
    </row>
    <row r="34" spans="5:6">
      <c r="E34" s="5"/>
      <c r="F34" s="5"/>
    </row>
    <row r="35" spans="5:6">
      <c r="E35" s="5"/>
      <c r="F35" s="5"/>
    </row>
    <row r="36" spans="5:6">
      <c r="E36" s="5"/>
      <c r="F36" s="5"/>
    </row>
    <row r="37" spans="5:6">
      <c r="E37" s="5"/>
      <c r="F37" s="5"/>
    </row>
    <row r="38" spans="5:6">
      <c r="E38" s="5"/>
      <c r="F38" s="5"/>
    </row>
    <row r="39" spans="5:6">
      <c r="E39" s="5"/>
      <c r="F39" s="5"/>
    </row>
    <row r="40" spans="5:6">
      <c r="E40" s="5"/>
      <c r="F40" s="5"/>
    </row>
    <row r="41" spans="5:6">
      <c r="E41" s="5"/>
      <c r="F41" s="5"/>
    </row>
    <row r="42" spans="5:6">
      <c r="E42" s="5"/>
      <c r="F42" s="5"/>
    </row>
    <row r="43" spans="5:6">
      <c r="E43" s="5"/>
      <c r="F43" s="5"/>
    </row>
    <row r="44" spans="5:6">
      <c r="E44" s="5"/>
      <c r="F44" s="5"/>
    </row>
    <row r="45" spans="5:6">
      <c r="E45" s="5"/>
      <c r="F45" s="5"/>
    </row>
    <row r="46" spans="5:6">
      <c r="E46" s="5"/>
      <c r="F46" s="5"/>
    </row>
    <row r="47" spans="5:6">
      <c r="E47" s="5"/>
      <c r="F47" s="5"/>
    </row>
    <row r="48" spans="5:6">
      <c r="E48" s="5"/>
      <c r="F48" s="5"/>
    </row>
    <row r="49" spans="5:6">
      <c r="E49" s="5"/>
      <c r="F49" s="5"/>
    </row>
    <row r="50" spans="5:6">
      <c r="E50" s="5"/>
      <c r="F50" s="5"/>
    </row>
    <row r="51" spans="5:6">
      <c r="E51" s="5"/>
      <c r="F51" s="5"/>
    </row>
    <row r="52" spans="5:6">
      <c r="E52" s="5"/>
      <c r="F52" s="5"/>
    </row>
    <row r="53" spans="5:6">
      <c r="E53" s="5"/>
      <c r="F53" s="5"/>
    </row>
    <row r="54" spans="5:6">
      <c r="E54" s="5"/>
      <c r="F54" s="5"/>
    </row>
    <row r="55" spans="5:6">
      <c r="E55" s="5"/>
      <c r="F55" s="5"/>
    </row>
    <row r="56" spans="5:6">
      <c r="E56" s="5"/>
      <c r="F56" s="5"/>
    </row>
    <row r="57" spans="5:6">
      <c r="E57" s="5"/>
      <c r="F57" s="5"/>
    </row>
    <row r="58" spans="5:6">
      <c r="E58" s="5"/>
      <c r="F58" s="5"/>
    </row>
    <row r="59" spans="5:6">
      <c r="E59" s="5"/>
      <c r="F59" s="5"/>
    </row>
    <row r="60" spans="5:6">
      <c r="E60" s="5"/>
      <c r="F60" s="5"/>
    </row>
    <row r="61" spans="5:6">
      <c r="E61" s="5"/>
      <c r="F61" s="5"/>
    </row>
    <row r="62" spans="5:6">
      <c r="E62" s="5"/>
      <c r="F62" s="5"/>
    </row>
    <row r="63" spans="5:6">
      <c r="E63" s="5"/>
      <c r="F63" s="5"/>
    </row>
    <row r="64" spans="5:6">
      <c r="E64" s="5"/>
      <c r="F64" s="5"/>
    </row>
    <row r="65" spans="5:6">
      <c r="E65" s="5"/>
      <c r="F65" s="5"/>
    </row>
    <row r="66" spans="5:6">
      <c r="E66" s="5"/>
      <c r="F66" s="5"/>
    </row>
    <row r="67" spans="5:6">
      <c r="E67" s="5"/>
      <c r="F67" s="5"/>
    </row>
    <row r="68" spans="5:6">
      <c r="E68" s="5"/>
      <c r="F68" s="5"/>
    </row>
    <row r="69" spans="5:6">
      <c r="E69" s="5"/>
      <c r="F69" s="5"/>
    </row>
    <row r="70" spans="5:6">
      <c r="E70" s="5"/>
      <c r="F70" s="5"/>
    </row>
    <row r="71" spans="5:6">
      <c r="E71" s="5"/>
      <c r="F71" s="5"/>
    </row>
    <row r="72" spans="5:6">
      <c r="E72" s="5"/>
      <c r="F72" s="5"/>
    </row>
    <row r="73" spans="5:6">
      <c r="E73" s="5"/>
      <c r="F73" s="5"/>
    </row>
    <row r="74" spans="5:6">
      <c r="E74" s="5"/>
      <c r="F74" s="5"/>
    </row>
    <row r="75" spans="5:6">
      <c r="E75" s="5"/>
      <c r="F75" s="5"/>
    </row>
    <row r="76" spans="5:6">
      <c r="E76" s="5"/>
      <c r="F76" s="5"/>
    </row>
    <row r="77" spans="5:6">
      <c r="E77" s="5"/>
      <c r="F77" s="5"/>
    </row>
    <row r="78" spans="5:6">
      <c r="E78" s="5"/>
      <c r="F78" s="5"/>
    </row>
    <row r="79" spans="5:6">
      <c r="E79" s="5"/>
      <c r="F79" s="5"/>
    </row>
    <row r="80" spans="5:6">
      <c r="E80" s="5"/>
      <c r="F80" s="5"/>
    </row>
    <row r="81" spans="5:6">
      <c r="E81" s="5"/>
      <c r="F81" s="5"/>
    </row>
    <row r="82" spans="5:6">
      <c r="E82" s="5"/>
      <c r="F82" s="5"/>
    </row>
    <row r="83" spans="5:6">
      <c r="E83" s="5"/>
      <c r="F83" s="5"/>
    </row>
    <row r="84" spans="5:6">
      <c r="E84" s="5"/>
      <c r="F84" s="5"/>
    </row>
    <row r="85" spans="5:6">
      <c r="E85" s="5"/>
      <c r="F85" s="5"/>
    </row>
    <row r="86" spans="5:6">
      <c r="E86" s="5"/>
      <c r="F86" s="5"/>
    </row>
    <row r="87" spans="5:6">
      <c r="E87" s="5"/>
      <c r="F87" s="5"/>
    </row>
    <row r="88" spans="5:6">
      <c r="E88" s="5"/>
      <c r="F88" s="5"/>
    </row>
    <row r="89" spans="5:6">
      <c r="E89" s="5"/>
      <c r="F89" s="5"/>
    </row>
    <row r="90" spans="5:6">
      <c r="E90" s="5"/>
      <c r="F90" s="5"/>
    </row>
    <row r="91" spans="5:6">
      <c r="E91" s="5"/>
      <c r="F91" s="5"/>
    </row>
    <row r="92" spans="5:6">
      <c r="E92" s="5"/>
      <c r="F92" s="5"/>
    </row>
    <row r="93" spans="5:6">
      <c r="E93" s="5"/>
      <c r="F93" s="5"/>
    </row>
    <row r="94" spans="5:6">
      <c r="E94" s="5"/>
      <c r="F94" s="5"/>
    </row>
    <row r="95" spans="5:6">
      <c r="E95" s="5"/>
      <c r="F95" s="5"/>
    </row>
    <row r="96" spans="5:6">
      <c r="E96" s="5"/>
      <c r="F96" s="5"/>
    </row>
    <row r="97" spans="5:6">
      <c r="E97" s="5"/>
      <c r="F97" s="5"/>
    </row>
    <row r="98" spans="5:6">
      <c r="E98" s="5"/>
      <c r="F98" s="5"/>
    </row>
    <row r="99" spans="5:6">
      <c r="E99" s="5"/>
      <c r="F99" s="5"/>
    </row>
    <row r="100" spans="5:6">
      <c r="E100" s="5"/>
      <c r="F100" s="5"/>
    </row>
    <row r="101" spans="5:6">
      <c r="E101" s="5"/>
      <c r="F101" s="5"/>
    </row>
    <row r="102" spans="5:6">
      <c r="E102" s="5"/>
      <c r="F102" s="5"/>
    </row>
    <row r="103" spans="5:6">
      <c r="E103" s="5"/>
      <c r="F103" s="5"/>
    </row>
    <row r="104" spans="5:6">
      <c r="E104" s="5"/>
      <c r="F104" s="5"/>
    </row>
    <row r="105" spans="5:6">
      <c r="E105" s="5"/>
      <c r="F105" s="5"/>
    </row>
    <row r="106" spans="5:6">
      <c r="E106" s="5"/>
      <c r="F106" s="5"/>
    </row>
    <row r="107" spans="5:6">
      <c r="E107" s="5"/>
      <c r="F107" s="5"/>
    </row>
    <row r="108" spans="5:6">
      <c r="E108" s="5"/>
      <c r="F108" s="5"/>
    </row>
    <row r="109" spans="5:6">
      <c r="E109" s="5"/>
      <c r="F109" s="5"/>
    </row>
    <row r="110" spans="5:6">
      <c r="E110" s="5"/>
      <c r="F110" s="5"/>
    </row>
    <row r="111" spans="5:6">
      <c r="E111" s="5"/>
      <c r="F111" s="5"/>
    </row>
    <row r="112" spans="5:6">
      <c r="E112" s="5"/>
      <c r="F112" s="5"/>
    </row>
    <row r="113" spans="5:6">
      <c r="E113" s="5"/>
      <c r="F113" s="5"/>
    </row>
    <row r="114" spans="5:6">
      <c r="E114" s="5"/>
      <c r="F114" s="5"/>
    </row>
    <row r="115" spans="5:6">
      <c r="E115" s="5"/>
      <c r="F115" s="5"/>
    </row>
    <row r="116" spans="5:6">
      <c r="E116" s="5"/>
      <c r="F116" s="5"/>
    </row>
    <row r="117" spans="5:6">
      <c r="E117" s="5"/>
      <c r="F117" s="5"/>
    </row>
    <row r="118" spans="5:6">
      <c r="E118" s="5"/>
      <c r="F118" s="5"/>
    </row>
    <row r="119" spans="5:6">
      <c r="E119" s="5"/>
      <c r="F119" s="5"/>
    </row>
    <row r="120" spans="5:6">
      <c r="E120" s="5"/>
      <c r="F120" s="5"/>
    </row>
    <row r="121" spans="5:6">
      <c r="E121" s="5"/>
      <c r="F121" s="5"/>
    </row>
    <row r="122" spans="5:6">
      <c r="E122" s="5"/>
      <c r="F122" s="5"/>
    </row>
    <row r="123" spans="5:6">
      <c r="E123" s="5"/>
      <c r="F123" s="5"/>
    </row>
    <row r="124" spans="5:6">
      <c r="E124" s="5"/>
      <c r="F124" s="5"/>
    </row>
    <row r="125" spans="5:6">
      <c r="E125" s="5"/>
      <c r="F125" s="5"/>
    </row>
    <row r="126" spans="5:6">
      <c r="E126" s="5"/>
      <c r="F126" s="5"/>
    </row>
    <row r="127" spans="5:6">
      <c r="E127" s="5"/>
      <c r="F127" s="5"/>
    </row>
    <row r="128" spans="5:6">
      <c r="E128" s="5"/>
      <c r="F128" s="5"/>
    </row>
    <row r="129" spans="5:6">
      <c r="E129" s="5"/>
      <c r="F129" s="5"/>
    </row>
    <row r="130" spans="5:6">
      <c r="E130" s="5"/>
      <c r="F130" s="5"/>
    </row>
    <row r="131" spans="5:6">
      <c r="E131" s="5"/>
      <c r="F131" s="5"/>
    </row>
    <row r="132" spans="5:6">
      <c r="E132" s="5"/>
      <c r="F13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0D18-008F-4895-9B42-FC447C0081FD}">
  <dimension ref="A1:AE20"/>
  <sheetViews>
    <sheetView tabSelected="1" zoomScale="140" zoomScaleNormal="140" workbookViewId="0">
      <pane ySplit="5" topLeftCell="A6" activePane="bottomLeft" state="frozen"/>
      <selection pane="bottomLeft" activeCell="A26" sqref="A26"/>
    </sheetView>
  </sheetViews>
  <sheetFormatPr baseColWidth="10" defaultColWidth="8.83203125" defaultRowHeight="12"/>
  <cols>
    <col min="1" max="1" width="6.1640625" style="1" customWidth="1"/>
    <col min="2" max="4" width="8.83203125" style="1"/>
    <col min="5" max="5" width="5.6640625" style="1" customWidth="1"/>
    <col min="6" max="6" width="7.5" style="1" customWidth="1"/>
    <col min="7" max="10" width="8.83203125" style="1"/>
    <col min="11" max="11" width="9.1640625" style="1" customWidth="1"/>
    <col min="12" max="12" width="8.83203125" style="23"/>
    <col min="13" max="13" width="8.83203125" style="1"/>
    <col min="14" max="14" width="9" style="1" customWidth="1"/>
    <col min="15" max="15" width="10.5" style="1" customWidth="1"/>
    <col min="16" max="16" width="1.33203125" style="1" customWidth="1"/>
    <col min="17" max="17" width="9.1640625" style="1" customWidth="1"/>
    <col min="18" max="19" width="8.83203125" style="1"/>
    <col min="20" max="20" width="9.33203125" style="1" customWidth="1"/>
    <col min="21" max="21" width="9" style="1" customWidth="1"/>
    <col min="22" max="22" width="9.6640625" style="1" customWidth="1"/>
    <col min="23" max="23" width="1.6640625" style="1" customWidth="1"/>
    <col min="24" max="24" width="11" style="1" customWidth="1"/>
    <col min="25" max="25" width="9.83203125" style="1" customWidth="1"/>
    <col min="26" max="26" width="1" style="1" customWidth="1"/>
    <col min="27" max="27" width="8.83203125" style="1"/>
    <col min="28" max="28" width="9.5" style="1" customWidth="1"/>
    <col min="29" max="29" width="6.33203125" style="1" bestFit="1" customWidth="1"/>
    <col min="30" max="30" width="1.1640625" style="1" customWidth="1"/>
    <col min="31" max="31" width="26.5" style="1" customWidth="1"/>
    <col min="32" max="16384" width="8.83203125" style="1"/>
  </cols>
  <sheetData>
    <row r="1" spans="1:31">
      <c r="L1" s="1"/>
    </row>
    <row r="2" spans="1:31">
      <c r="L2" s="1"/>
    </row>
    <row r="3" spans="1:31" ht="13" thickBot="1">
      <c r="B3" s="10" t="s">
        <v>1</v>
      </c>
      <c r="L3" s="1"/>
    </row>
    <row r="4" spans="1:31">
      <c r="B4" s="10" t="s">
        <v>25</v>
      </c>
      <c r="K4" s="62" t="s">
        <v>12</v>
      </c>
      <c r="L4" s="63"/>
      <c r="M4" s="63"/>
      <c r="N4" s="63"/>
      <c r="O4" s="64"/>
      <c r="P4" s="8"/>
      <c r="Q4" s="65" t="s">
        <v>23</v>
      </c>
      <c r="R4" s="66"/>
      <c r="S4" s="66"/>
      <c r="T4" s="66"/>
      <c r="U4" s="66"/>
      <c r="V4" s="67"/>
      <c r="W4" s="8"/>
      <c r="X4" s="68" t="s">
        <v>45</v>
      </c>
      <c r="Y4" s="68"/>
    </row>
    <row r="5" spans="1:31" s="2" customFormat="1" ht="53" thickBot="1">
      <c r="A5" s="11" t="s">
        <v>8</v>
      </c>
      <c r="B5" s="11" t="s">
        <v>5</v>
      </c>
      <c r="C5" s="11" t="s">
        <v>19</v>
      </c>
      <c r="D5" s="11" t="s">
        <v>0</v>
      </c>
      <c r="E5" s="11" t="s">
        <v>13</v>
      </c>
      <c r="F5" s="11" t="s">
        <v>14</v>
      </c>
      <c r="G5" s="11" t="s">
        <v>3</v>
      </c>
      <c r="H5" s="11" t="s">
        <v>15</v>
      </c>
      <c r="I5" s="11" t="s">
        <v>16</v>
      </c>
      <c r="J5" s="11" t="s">
        <v>26</v>
      </c>
      <c r="K5" s="28" t="s">
        <v>2</v>
      </c>
      <c r="L5" s="29" t="s">
        <v>4</v>
      </c>
      <c r="M5" s="29" t="s">
        <v>6</v>
      </c>
      <c r="N5" s="29" t="s">
        <v>7</v>
      </c>
      <c r="O5" s="30" t="s">
        <v>10</v>
      </c>
      <c r="P5" s="11"/>
      <c r="Q5" s="37" t="s">
        <v>11</v>
      </c>
      <c r="R5" s="38" t="s">
        <v>4</v>
      </c>
      <c r="S5" s="38" t="s">
        <v>17</v>
      </c>
      <c r="T5" s="38" t="s">
        <v>7</v>
      </c>
      <c r="U5" s="38" t="s">
        <v>18</v>
      </c>
      <c r="V5" s="39" t="s">
        <v>21</v>
      </c>
      <c r="W5" s="11"/>
      <c r="X5" s="11" t="s">
        <v>22</v>
      </c>
      <c r="Y5" s="12" t="s">
        <v>24</v>
      </c>
      <c r="Z5" s="11"/>
      <c r="AA5" s="11" t="s">
        <v>27</v>
      </c>
      <c r="AB5" s="11" t="s">
        <v>28</v>
      </c>
      <c r="AC5" s="11" t="s">
        <v>29</v>
      </c>
      <c r="AE5" s="2" t="s">
        <v>35</v>
      </c>
    </row>
    <row r="6" spans="1:31">
      <c r="A6" s="7" t="s">
        <v>9</v>
      </c>
      <c r="B6" s="4">
        <v>43485</v>
      </c>
      <c r="C6" s="4" t="s">
        <v>20</v>
      </c>
      <c r="D6" s="1">
        <v>1000000</v>
      </c>
      <c r="E6" s="5">
        <v>0.08</v>
      </c>
      <c r="F6" s="9">
        <f>+E6/12</f>
        <v>6.6666666666666671E-3</v>
      </c>
      <c r="G6" s="1">
        <f>+D6*E6</f>
        <v>80000</v>
      </c>
      <c r="H6" s="7">
        <v>60</v>
      </c>
      <c r="I6" s="7">
        <v>12</v>
      </c>
      <c r="J6" s="1">
        <f>+D6*F6*H6</f>
        <v>400000</v>
      </c>
      <c r="K6" s="31">
        <f>+D6-J6</f>
        <v>600000</v>
      </c>
      <c r="L6" s="32">
        <v>103.108</v>
      </c>
      <c r="M6" s="32">
        <v>134.59399999999999</v>
      </c>
      <c r="N6" s="32">
        <f>TRUNC(M6/L6,4)</f>
        <v>1.3052999999999999</v>
      </c>
      <c r="O6" s="33">
        <f>+K6*N6</f>
        <v>783180</v>
      </c>
      <c r="Q6" s="40">
        <f>+D6*F6*I6</f>
        <v>80000</v>
      </c>
      <c r="R6" s="41">
        <f>+L6</f>
        <v>103.108</v>
      </c>
      <c r="S6" s="41">
        <f>+M6</f>
        <v>134.59399999999999</v>
      </c>
      <c r="T6" s="41">
        <f>TRUNC(S6/R6,4)</f>
        <v>1.3052999999999999</v>
      </c>
      <c r="U6" s="25">
        <f>+Q6*T6</f>
        <v>104423.99999999999</v>
      </c>
      <c r="V6" s="42">
        <f>+U6*0.5</f>
        <v>52211.999999999993</v>
      </c>
      <c r="X6" s="1">
        <f>+O6-V6</f>
        <v>730968</v>
      </c>
      <c r="Y6" s="1">
        <f>+X6/12*I6</f>
        <v>730968</v>
      </c>
      <c r="AA6" s="1">
        <f>+D6-J6-Q6</f>
        <v>520000</v>
      </c>
      <c r="AB6" s="1">
        <f>+AA6*T6</f>
        <v>678756</v>
      </c>
      <c r="AC6" s="7" t="s">
        <v>30</v>
      </c>
      <c r="AE6" s="1" t="s">
        <v>36</v>
      </c>
    </row>
    <row r="7" spans="1:31">
      <c r="A7" s="7" t="s">
        <v>9</v>
      </c>
      <c r="B7" s="4">
        <v>45371</v>
      </c>
      <c r="C7" s="4" t="s">
        <v>20</v>
      </c>
      <c r="D7" s="1">
        <v>700000</v>
      </c>
      <c r="E7" s="5">
        <v>0.08</v>
      </c>
      <c r="F7" s="9">
        <f t="shared" ref="F7:F16" si="0">+E7/12</f>
        <v>6.6666666666666671E-3</v>
      </c>
      <c r="G7" s="1">
        <f>+D7*E7</f>
        <v>56000</v>
      </c>
      <c r="H7" s="7">
        <v>0</v>
      </c>
      <c r="I7" s="7">
        <v>10</v>
      </c>
      <c r="J7" s="1">
        <f t="shared" ref="J7:J13" si="1">+D7*F7*H7</f>
        <v>0</v>
      </c>
      <c r="K7" s="31">
        <f>+D7-J7</f>
        <v>700000</v>
      </c>
      <c r="L7" s="32">
        <v>134.065</v>
      </c>
      <c r="M7" s="32">
        <v>134.59399999999999</v>
      </c>
      <c r="N7" s="32">
        <f t="shared" ref="N7:N9" si="2">TRUNC(M7/L7,4)</f>
        <v>1.0039</v>
      </c>
      <c r="O7" s="33">
        <f t="shared" ref="O7:O9" si="3">+K7*N7</f>
        <v>702730</v>
      </c>
      <c r="Q7" s="40">
        <f t="shared" ref="Q7:Q13" si="4">+D7*F7*I7</f>
        <v>46666.666666666672</v>
      </c>
      <c r="R7" s="41">
        <f>+L7</f>
        <v>134.065</v>
      </c>
      <c r="S7" s="41">
        <v>136.00299999999999</v>
      </c>
      <c r="T7" s="41">
        <f t="shared" ref="T7:T13" si="5">TRUNC(S7/R7,4)</f>
        <v>1.0144</v>
      </c>
      <c r="U7" s="25">
        <f t="shared" ref="U7:U9" si="6">+Q7*T7</f>
        <v>47338.666666666672</v>
      </c>
      <c r="V7" s="42">
        <f t="shared" ref="V7:V16" si="7">+U7*0.5</f>
        <v>23669.333333333336</v>
      </c>
      <c r="X7" s="1">
        <f t="shared" ref="X7:X13" si="8">+O7-V7</f>
        <v>679060.66666666663</v>
      </c>
      <c r="Y7" s="1">
        <f t="shared" ref="Y7:Y13" si="9">+X7/12*I7</f>
        <v>565883.88888888888</v>
      </c>
      <c r="AA7" s="1">
        <f t="shared" ref="AA7:AA9" si="10">+D7-J7-Q7</f>
        <v>653333.33333333337</v>
      </c>
      <c r="AB7" s="1">
        <f t="shared" ref="AB7:AB13" si="11">+AA7*T7</f>
        <v>662741.33333333337</v>
      </c>
      <c r="AC7" s="7" t="s">
        <v>30</v>
      </c>
      <c r="AE7" s="1" t="s">
        <v>37</v>
      </c>
    </row>
    <row r="8" spans="1:31">
      <c r="A8" s="7" t="s">
        <v>9</v>
      </c>
      <c r="B8" s="4">
        <v>45493</v>
      </c>
      <c r="C8" s="4" t="s">
        <v>20</v>
      </c>
      <c r="D8" s="1">
        <v>500000</v>
      </c>
      <c r="E8" s="5">
        <v>0.08</v>
      </c>
      <c r="F8" s="9">
        <f t="shared" si="0"/>
        <v>6.6666666666666671E-3</v>
      </c>
      <c r="G8" s="1">
        <f>+D8*E8</f>
        <v>40000</v>
      </c>
      <c r="H8" s="7">
        <v>0</v>
      </c>
      <c r="I8" s="7">
        <v>6</v>
      </c>
      <c r="J8" s="1">
        <f t="shared" si="1"/>
        <v>0</v>
      </c>
      <c r="K8" s="31">
        <f>+D8-J8</f>
        <v>500000</v>
      </c>
      <c r="L8" s="32">
        <v>134.59399999999999</v>
      </c>
      <c r="M8" s="32">
        <v>134.59399999999999</v>
      </c>
      <c r="N8" s="32">
        <f t="shared" si="2"/>
        <v>1</v>
      </c>
      <c r="O8" s="33">
        <f t="shared" si="3"/>
        <v>500000</v>
      </c>
      <c r="Q8" s="40">
        <f t="shared" si="4"/>
        <v>20000</v>
      </c>
      <c r="R8" s="41">
        <f>+L8</f>
        <v>134.59399999999999</v>
      </c>
      <c r="S8" s="41">
        <v>136.08000000000001</v>
      </c>
      <c r="T8" s="41">
        <f t="shared" si="5"/>
        <v>1.0109999999999999</v>
      </c>
      <c r="U8" s="25">
        <f t="shared" si="6"/>
        <v>20219.999999999996</v>
      </c>
      <c r="V8" s="42">
        <f t="shared" si="7"/>
        <v>10109.999999999998</v>
      </c>
      <c r="X8" s="1">
        <f>+O8-V8</f>
        <v>489890</v>
      </c>
      <c r="Y8" s="46">
        <f t="shared" si="9"/>
        <v>244945</v>
      </c>
      <c r="AA8" s="1">
        <f t="shared" si="10"/>
        <v>480000</v>
      </c>
      <c r="AB8" s="1">
        <f t="shared" si="11"/>
        <v>485279.99999999994</v>
      </c>
      <c r="AC8" s="7" t="s">
        <v>30</v>
      </c>
      <c r="AE8" s="1" t="s">
        <v>38</v>
      </c>
    </row>
    <row r="9" spans="1:31">
      <c r="A9" s="7" t="s">
        <v>9</v>
      </c>
      <c r="B9" s="4">
        <v>43332</v>
      </c>
      <c r="C9" s="4">
        <v>45524</v>
      </c>
      <c r="D9" s="1">
        <v>400000</v>
      </c>
      <c r="E9" s="5">
        <v>0.08</v>
      </c>
      <c r="F9" s="9">
        <f t="shared" si="0"/>
        <v>6.6666666666666671E-3</v>
      </c>
      <c r="G9" s="1">
        <f>+D9*E9</f>
        <v>32000</v>
      </c>
      <c r="H9" s="7">
        <v>65</v>
      </c>
      <c r="I9" s="7">
        <v>8</v>
      </c>
      <c r="J9" s="1">
        <f t="shared" si="1"/>
        <v>173333.33333333334</v>
      </c>
      <c r="K9" s="31">
        <f>+D9-J9</f>
        <v>226666.66666666666</v>
      </c>
      <c r="L9" s="32">
        <v>100.492</v>
      </c>
      <c r="M9" s="32">
        <v>134.59399999999999</v>
      </c>
      <c r="N9" s="32">
        <f t="shared" si="2"/>
        <v>1.3392999999999999</v>
      </c>
      <c r="O9" s="33">
        <f t="shared" si="3"/>
        <v>303574.66666666663</v>
      </c>
      <c r="Q9" s="40">
        <f t="shared" si="4"/>
        <v>21333.333333333336</v>
      </c>
      <c r="R9" s="41">
        <f>+L9</f>
        <v>100.492</v>
      </c>
      <c r="S9" s="41">
        <v>134.33600000000001</v>
      </c>
      <c r="T9" s="41">
        <f t="shared" si="5"/>
        <v>1.3367</v>
      </c>
      <c r="U9" s="25">
        <f t="shared" si="6"/>
        <v>28516.26666666667</v>
      </c>
      <c r="V9" s="42">
        <f t="shared" si="7"/>
        <v>14258.133333333335</v>
      </c>
      <c r="X9" s="1">
        <f t="shared" si="8"/>
        <v>289316.53333333327</v>
      </c>
      <c r="Y9" s="46">
        <f t="shared" si="9"/>
        <v>192877.68888888884</v>
      </c>
      <c r="AA9" s="1">
        <f t="shared" si="10"/>
        <v>205333.33333333331</v>
      </c>
      <c r="AB9" s="1">
        <f t="shared" si="11"/>
        <v>274469.06666666665</v>
      </c>
      <c r="AC9" s="7" t="s">
        <v>31</v>
      </c>
      <c r="AE9" s="1" t="s">
        <v>39</v>
      </c>
    </row>
    <row r="10" spans="1:31">
      <c r="A10" s="7"/>
      <c r="B10" s="4"/>
      <c r="C10" s="4"/>
      <c r="E10" s="5"/>
      <c r="F10" s="9"/>
      <c r="H10" s="7"/>
      <c r="I10" s="7"/>
      <c r="K10" s="31"/>
      <c r="L10" s="32"/>
      <c r="M10" s="32"/>
      <c r="N10" s="32"/>
      <c r="O10" s="33"/>
      <c r="Q10" s="40"/>
      <c r="R10" s="41"/>
      <c r="S10" s="41"/>
      <c r="T10" s="41"/>
      <c r="U10" s="25"/>
      <c r="V10" s="42"/>
      <c r="AC10" s="7"/>
    </row>
    <row r="11" spans="1:31">
      <c r="A11" s="47" t="s">
        <v>32</v>
      </c>
      <c r="B11" s="48">
        <v>29240</v>
      </c>
      <c r="C11" s="48">
        <v>45524</v>
      </c>
      <c r="D11" s="49">
        <v>30000</v>
      </c>
      <c r="E11" s="50">
        <v>0</v>
      </c>
      <c r="F11" s="51">
        <f t="shared" si="0"/>
        <v>0</v>
      </c>
      <c r="G11" s="49">
        <f t="shared" ref="G11:G13" si="12">+D11*E11</f>
        <v>0</v>
      </c>
      <c r="H11" s="47">
        <v>516</v>
      </c>
      <c r="I11" s="47">
        <v>8</v>
      </c>
      <c r="J11" s="49">
        <f t="shared" si="1"/>
        <v>0</v>
      </c>
      <c r="K11" s="52">
        <f>+D11-J11</f>
        <v>30000</v>
      </c>
      <c r="L11" s="53">
        <v>0.35799999999999998</v>
      </c>
      <c r="M11" s="53">
        <v>134.59399999999999</v>
      </c>
      <c r="N11" s="53">
        <f t="shared" ref="N11:N13" si="13">TRUNC(M11/L11,4)</f>
        <v>375.96080000000001</v>
      </c>
      <c r="O11" s="54">
        <f t="shared" ref="O11:O13" si="14">+K11*N11</f>
        <v>11278824</v>
      </c>
      <c r="P11" s="49"/>
      <c r="Q11" s="52">
        <f t="shared" si="4"/>
        <v>0</v>
      </c>
      <c r="R11" s="53">
        <f>+L11</f>
        <v>0.35799999999999998</v>
      </c>
      <c r="S11" s="53">
        <v>134.33600000000001</v>
      </c>
      <c r="T11" s="53">
        <f t="shared" si="5"/>
        <v>375.24020000000002</v>
      </c>
      <c r="U11" s="49">
        <f t="shared" ref="U11:U13" si="15">+Q11*T11</f>
        <v>0</v>
      </c>
      <c r="V11" s="54">
        <f t="shared" si="7"/>
        <v>0</v>
      </c>
      <c r="W11" s="49"/>
      <c r="X11" s="49">
        <f t="shared" si="8"/>
        <v>11278824</v>
      </c>
      <c r="Y11" s="49">
        <f t="shared" si="9"/>
        <v>7519216</v>
      </c>
      <c r="Z11" s="49"/>
      <c r="AA11" s="49">
        <f t="shared" ref="AA11:AA13" si="16">+D11-J11-Q11</f>
        <v>30000</v>
      </c>
      <c r="AB11" s="49">
        <f t="shared" ref="AB11" si="17">+AA11*T11</f>
        <v>11257206</v>
      </c>
      <c r="AC11" s="47" t="s">
        <v>31</v>
      </c>
      <c r="AE11" s="1" t="s">
        <v>40</v>
      </c>
    </row>
    <row r="12" spans="1:31">
      <c r="A12" s="47" t="s">
        <v>32</v>
      </c>
      <c r="B12" s="48">
        <v>41438</v>
      </c>
      <c r="C12" s="48" t="s">
        <v>20</v>
      </c>
      <c r="D12" s="49">
        <v>300000</v>
      </c>
      <c r="E12" s="50">
        <v>0</v>
      </c>
      <c r="F12" s="51">
        <f t="shared" si="0"/>
        <v>0</v>
      </c>
      <c r="G12" s="49">
        <f t="shared" si="12"/>
        <v>0</v>
      </c>
      <c r="H12" s="47">
        <v>120</v>
      </c>
      <c r="I12" s="47">
        <v>12</v>
      </c>
      <c r="J12" s="49">
        <f t="shared" si="1"/>
        <v>0</v>
      </c>
      <c r="K12" s="52">
        <f>+D12-J12</f>
        <v>300000</v>
      </c>
      <c r="L12" s="53">
        <v>80.893000000000001</v>
      </c>
      <c r="M12" s="53">
        <v>134.59399999999999</v>
      </c>
      <c r="N12" s="53">
        <f t="shared" si="13"/>
        <v>1.6637999999999999</v>
      </c>
      <c r="O12" s="54">
        <f t="shared" si="14"/>
        <v>499140</v>
      </c>
      <c r="P12" s="49"/>
      <c r="Q12" s="52">
        <f t="shared" si="4"/>
        <v>0</v>
      </c>
      <c r="R12" s="53">
        <f>+L12</f>
        <v>80.893000000000001</v>
      </c>
      <c r="S12" s="53">
        <v>134.59399999999999</v>
      </c>
      <c r="T12" s="53">
        <f t="shared" si="5"/>
        <v>1.6637999999999999</v>
      </c>
      <c r="U12" s="49">
        <f t="shared" si="15"/>
        <v>0</v>
      </c>
      <c r="V12" s="54">
        <f t="shared" si="7"/>
        <v>0</v>
      </c>
      <c r="W12" s="49"/>
      <c r="X12" s="49">
        <f t="shared" si="8"/>
        <v>499140</v>
      </c>
      <c r="Y12" s="49">
        <f t="shared" si="9"/>
        <v>499140</v>
      </c>
      <c r="Z12" s="49"/>
      <c r="AA12" s="49">
        <f t="shared" si="16"/>
        <v>300000</v>
      </c>
      <c r="AB12" s="49">
        <f t="shared" si="11"/>
        <v>499140</v>
      </c>
      <c r="AC12" s="47" t="s">
        <v>30</v>
      </c>
      <c r="AE12" s="1" t="s">
        <v>41</v>
      </c>
    </row>
    <row r="13" spans="1:31">
      <c r="A13" s="47" t="s">
        <v>32</v>
      </c>
      <c r="B13" s="48">
        <v>45402</v>
      </c>
      <c r="C13" s="48" t="s">
        <v>20</v>
      </c>
      <c r="D13" s="49">
        <v>650000</v>
      </c>
      <c r="E13" s="50">
        <v>0</v>
      </c>
      <c r="F13" s="51">
        <f t="shared" si="0"/>
        <v>0</v>
      </c>
      <c r="G13" s="49">
        <f t="shared" si="12"/>
        <v>0</v>
      </c>
      <c r="H13" s="47">
        <v>0</v>
      </c>
      <c r="I13" s="47">
        <v>9</v>
      </c>
      <c r="J13" s="49">
        <f t="shared" si="1"/>
        <v>0</v>
      </c>
      <c r="K13" s="52">
        <f>+D13-J13</f>
        <v>650000</v>
      </c>
      <c r="L13" s="53">
        <v>134.33600000000001</v>
      </c>
      <c r="M13" s="53">
        <v>134.59399999999999</v>
      </c>
      <c r="N13" s="53">
        <f t="shared" si="13"/>
        <v>1.0019</v>
      </c>
      <c r="O13" s="54">
        <f t="shared" si="14"/>
        <v>651235</v>
      </c>
      <c r="P13" s="49"/>
      <c r="Q13" s="52">
        <f t="shared" si="4"/>
        <v>0</v>
      </c>
      <c r="R13" s="53">
        <f>+L13</f>
        <v>134.33600000000001</v>
      </c>
      <c r="S13" s="53">
        <v>136.00299999999999</v>
      </c>
      <c r="T13" s="53">
        <f t="shared" si="5"/>
        <v>1.0124</v>
      </c>
      <c r="U13" s="49">
        <f t="shared" si="15"/>
        <v>0</v>
      </c>
      <c r="V13" s="54">
        <f t="shared" si="7"/>
        <v>0</v>
      </c>
      <c r="W13" s="49"/>
      <c r="X13" s="49">
        <f t="shared" si="8"/>
        <v>651235</v>
      </c>
      <c r="Y13" s="49">
        <f t="shared" si="9"/>
        <v>488426.25</v>
      </c>
      <c r="Z13" s="49"/>
      <c r="AA13" s="49">
        <f t="shared" si="16"/>
        <v>650000</v>
      </c>
      <c r="AB13" s="49">
        <f t="shared" si="11"/>
        <v>658060</v>
      </c>
      <c r="AC13" s="47" t="s">
        <v>30</v>
      </c>
      <c r="AE13" s="1" t="s">
        <v>44</v>
      </c>
    </row>
    <row r="14" spans="1:31">
      <c r="A14" s="7"/>
      <c r="B14" s="4"/>
      <c r="C14" s="4"/>
      <c r="E14" s="5"/>
      <c r="F14" s="5"/>
      <c r="H14" s="7"/>
      <c r="I14" s="7"/>
      <c r="K14" s="31"/>
      <c r="L14" s="32"/>
      <c r="M14" s="32"/>
      <c r="N14" s="32"/>
      <c r="O14" s="33"/>
      <c r="Q14" s="40"/>
      <c r="R14" s="41"/>
      <c r="S14" s="41"/>
      <c r="T14" s="41"/>
      <c r="U14" s="25"/>
      <c r="V14" s="42"/>
      <c r="AC14" s="7"/>
    </row>
    <row r="15" spans="1:31">
      <c r="A15" s="7" t="s">
        <v>33</v>
      </c>
      <c r="B15" s="4">
        <v>29240</v>
      </c>
      <c r="C15" s="4">
        <v>45524</v>
      </c>
      <c r="D15" s="1">
        <v>120000</v>
      </c>
      <c r="E15" s="5">
        <v>0.05</v>
      </c>
      <c r="F15" s="9">
        <f t="shared" si="0"/>
        <v>4.1666666666666666E-3</v>
      </c>
      <c r="G15" s="1">
        <f t="shared" ref="G15:G16" si="18">+D15*E15</f>
        <v>6000</v>
      </c>
      <c r="H15" s="7">
        <v>516</v>
      </c>
      <c r="I15" s="7">
        <v>8</v>
      </c>
      <c r="J15" s="1">
        <v>120000</v>
      </c>
      <c r="K15" s="31">
        <f>+D15-J15</f>
        <v>0</v>
      </c>
      <c r="L15" s="32">
        <v>0.35799999999999998</v>
      </c>
      <c r="M15" s="32">
        <v>134.59399999999999</v>
      </c>
      <c r="N15" s="32">
        <f t="shared" ref="N15:N16" si="19">TRUNC(M15/L15,4)</f>
        <v>375.96080000000001</v>
      </c>
      <c r="O15" s="33">
        <f t="shared" ref="O15:O16" si="20">+K15*N15</f>
        <v>0</v>
      </c>
      <c r="Q15" s="40">
        <v>0</v>
      </c>
      <c r="R15" s="41">
        <f>+L15</f>
        <v>0.35799999999999998</v>
      </c>
      <c r="S15" s="41">
        <v>134.33600000000001</v>
      </c>
      <c r="T15" s="41">
        <f t="shared" ref="T15:T16" si="21">TRUNC(S15/R15,4)</f>
        <v>375.24020000000002</v>
      </c>
      <c r="U15" s="25">
        <f t="shared" ref="U15:U16" si="22">+Q15*T15</f>
        <v>0</v>
      </c>
      <c r="V15" s="42">
        <f t="shared" si="7"/>
        <v>0</v>
      </c>
      <c r="X15" s="1">
        <f t="shared" ref="X15:X16" si="23">+O15-V15</f>
        <v>0</v>
      </c>
      <c r="Y15" s="46">
        <f t="shared" ref="Y15:Y16" si="24">+X15/12*I15</f>
        <v>0</v>
      </c>
      <c r="AA15" s="1">
        <f t="shared" ref="AA15:AA16" si="25">+D15-J15-Q15</f>
        <v>0</v>
      </c>
      <c r="AB15" s="1">
        <f t="shared" ref="AB15:AB16" si="26">+AA15*T15</f>
        <v>0</v>
      </c>
      <c r="AC15" s="7" t="s">
        <v>31</v>
      </c>
      <c r="AE15" s="1" t="s">
        <v>43</v>
      </c>
    </row>
    <row r="16" spans="1:31">
      <c r="A16" s="7" t="s">
        <v>33</v>
      </c>
      <c r="B16" s="4">
        <v>41438</v>
      </c>
      <c r="C16" s="4" t="s">
        <v>20</v>
      </c>
      <c r="D16" s="1">
        <v>1200000</v>
      </c>
      <c r="E16" s="5">
        <v>0.05</v>
      </c>
      <c r="F16" s="9">
        <f t="shared" si="0"/>
        <v>4.1666666666666666E-3</v>
      </c>
      <c r="G16" s="1">
        <f t="shared" si="18"/>
        <v>60000</v>
      </c>
      <c r="H16" s="7">
        <v>115</v>
      </c>
      <c r="I16" s="7">
        <v>12</v>
      </c>
      <c r="J16" s="1">
        <f t="shared" ref="J16" si="27">+D16*F16*H16</f>
        <v>575000</v>
      </c>
      <c r="K16" s="31">
        <f>+D16-J16</f>
        <v>625000</v>
      </c>
      <c r="L16" s="32">
        <v>80.893000000000001</v>
      </c>
      <c r="M16" s="32">
        <v>134.59399999999999</v>
      </c>
      <c r="N16" s="32">
        <f t="shared" si="19"/>
        <v>1.6637999999999999</v>
      </c>
      <c r="O16" s="33">
        <f t="shared" si="20"/>
        <v>1039875</v>
      </c>
      <c r="Q16" s="40">
        <f t="shared" ref="Q16" si="28">+D16*F16*I16</f>
        <v>60000</v>
      </c>
      <c r="R16" s="41">
        <f>+L16</f>
        <v>80.893000000000001</v>
      </c>
      <c r="S16" s="41">
        <v>134.59399999999999</v>
      </c>
      <c r="T16" s="41">
        <f t="shared" si="21"/>
        <v>1.6637999999999999</v>
      </c>
      <c r="U16" s="25">
        <f t="shared" si="22"/>
        <v>99828</v>
      </c>
      <c r="V16" s="42">
        <f t="shared" si="7"/>
        <v>49914</v>
      </c>
      <c r="X16" s="1">
        <f t="shared" si="23"/>
        <v>989961</v>
      </c>
      <c r="Y16" s="1">
        <f t="shared" si="24"/>
        <v>989961</v>
      </c>
      <c r="AA16" s="1">
        <f t="shared" si="25"/>
        <v>565000</v>
      </c>
      <c r="AB16" s="1">
        <f t="shared" si="26"/>
        <v>940047</v>
      </c>
      <c r="AC16" s="7" t="s">
        <v>30</v>
      </c>
      <c r="AE16" s="1" t="s">
        <v>42</v>
      </c>
    </row>
    <row r="17" spans="1:29">
      <c r="A17" s="7"/>
      <c r="B17" s="4"/>
      <c r="C17" s="4"/>
      <c r="E17" s="5"/>
      <c r="F17" s="5"/>
      <c r="H17" s="7"/>
      <c r="I17" s="7"/>
      <c r="K17" s="31"/>
      <c r="L17" s="32"/>
      <c r="M17" s="32"/>
      <c r="N17" s="32"/>
      <c r="O17" s="33"/>
      <c r="Q17" s="40"/>
      <c r="R17" s="25"/>
      <c r="S17" s="25"/>
      <c r="T17" s="25"/>
      <c r="U17" s="25"/>
      <c r="V17" s="42"/>
      <c r="AC17" s="7"/>
    </row>
    <row r="18" spans="1:29" ht="13" thickBot="1">
      <c r="A18" s="14"/>
      <c r="B18" s="15" t="s">
        <v>34</v>
      </c>
      <c r="C18" s="15"/>
      <c r="D18" s="16">
        <f>SUM(D6:D17)</f>
        <v>4900000</v>
      </c>
      <c r="E18" s="17"/>
      <c r="F18" s="17"/>
      <c r="G18" s="16">
        <f>SUM(G6:G17)</f>
        <v>274000</v>
      </c>
      <c r="H18" s="18"/>
      <c r="I18" s="18"/>
      <c r="J18" s="16">
        <f>SUM(J6:J17)</f>
        <v>1268333.3333333335</v>
      </c>
      <c r="K18" s="34">
        <f>SUM(K6:K17)</f>
        <v>3631666.666666667</v>
      </c>
      <c r="L18" s="35"/>
      <c r="M18" s="35"/>
      <c r="N18" s="35"/>
      <c r="O18" s="36">
        <f>SUM(O6:O17)</f>
        <v>15758558.666666666</v>
      </c>
      <c r="P18" s="16"/>
      <c r="Q18" s="43">
        <f>SUM(Q6:Q17)</f>
        <v>228000.00000000003</v>
      </c>
      <c r="R18" s="44"/>
      <c r="S18" s="44"/>
      <c r="T18" s="44"/>
      <c r="U18" s="44">
        <f t="shared" ref="U18:V18" si="29">SUM(U6:U17)</f>
        <v>300326.93333333335</v>
      </c>
      <c r="V18" s="45">
        <f t="shared" si="29"/>
        <v>150163.46666666667</v>
      </c>
      <c r="W18" s="16"/>
      <c r="X18" s="16">
        <f t="shared" ref="X18:Y18" si="30">SUM(X6:X17)</f>
        <v>15608395.199999999</v>
      </c>
      <c r="Y18" s="19">
        <f t="shared" si="30"/>
        <v>11231417.827777777</v>
      </c>
      <c r="Z18" s="16"/>
      <c r="AA18" s="16">
        <f t="shared" ref="AA18:AB18" si="31">SUM(AA6:AA17)</f>
        <v>3403666.666666667</v>
      </c>
      <c r="AB18" s="16">
        <f t="shared" si="31"/>
        <v>15455699.4</v>
      </c>
      <c r="AC18" s="13"/>
    </row>
    <row r="19" spans="1:29">
      <c r="A19" s="7"/>
      <c r="B19" s="4"/>
      <c r="C19" s="4"/>
      <c r="E19" s="5"/>
      <c r="F19" s="5"/>
      <c r="L19" s="6"/>
      <c r="M19" s="6"/>
      <c r="N19" s="6"/>
      <c r="Y19" s="20"/>
      <c r="AC19" s="7"/>
    </row>
    <row r="20" spans="1:29">
      <c r="A20" s="7"/>
      <c r="B20" s="4"/>
      <c r="C20" s="4"/>
      <c r="E20" s="5"/>
      <c r="F20" s="5"/>
      <c r="L20" s="6"/>
      <c r="M20" s="6"/>
      <c r="N20" s="6"/>
    </row>
  </sheetData>
  <mergeCells count="3">
    <mergeCell ref="K4:O4"/>
    <mergeCell ref="Q4:V4"/>
    <mergeCell ref="X4:Y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Reporte</vt:lpstr>
      <vt:lpstr>Activos Extranjeros</vt:lpstr>
      <vt:lpstr>Activos Mexicanos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Mata, Oscar</dc:creator>
  <cp:lastModifiedBy>caraiza diamonds-straat.com</cp:lastModifiedBy>
  <dcterms:created xsi:type="dcterms:W3CDTF">2024-10-30T16:10:36Z</dcterms:created>
  <dcterms:modified xsi:type="dcterms:W3CDTF">2025-10-31T02:28:30Z</dcterms:modified>
</cp:coreProperties>
</file>