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leyn138/research/PycharmProjects/cryoscope/cryoscope_etc/"/>
    </mc:Choice>
  </mc:AlternateContent>
  <xr:revisionPtr revIDLastSave="0" documentId="13_ncr:1_{69C60F19-61CC-5D44-9EF6-F542F502E47D}" xr6:coauthVersionLast="47" xr6:coauthVersionMax="47" xr10:uidLastSave="{00000000-0000-0000-0000-000000000000}"/>
  <bookViews>
    <workbookView xWindow="10040" yWindow="1980" windowWidth="27640" windowHeight="15940" xr2:uid="{BB288948-5939-FC46-83E2-B7EB5588CFC4}"/>
  </bookViews>
  <sheets>
    <sheet name="Prototype" sheetId="1" r:id="rId1"/>
    <sheet name="Full sca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3" l="1"/>
  <c r="B47" i="3"/>
  <c r="B48" i="3" s="1"/>
  <c r="B46" i="3"/>
  <c r="B43" i="3"/>
  <c r="B41" i="3"/>
  <c r="B42" i="3" s="1"/>
  <c r="B38" i="3"/>
  <c r="B39" i="3" s="1"/>
  <c r="B36" i="3"/>
  <c r="B31" i="3"/>
  <c r="G5" i="3"/>
  <c r="F5" i="3"/>
  <c r="G4" i="3"/>
  <c r="H4" i="3" s="1"/>
  <c r="B47" i="1"/>
  <c r="B48" i="1" s="1"/>
  <c r="B46" i="1"/>
  <c r="G4" i="1"/>
  <c r="H4" i="1" s="1"/>
  <c r="I4" i="1" s="1"/>
  <c r="F5" i="1"/>
  <c r="B43" i="1"/>
  <c r="B41" i="1"/>
  <c r="B42" i="1" s="1"/>
  <c r="B38" i="1"/>
  <c r="B39" i="1" s="1"/>
  <c r="B36" i="1"/>
  <c r="B31" i="1"/>
  <c r="E23" i="1" l="1"/>
  <c r="E14" i="3"/>
  <c r="I4" i="3"/>
  <c r="H5" i="3"/>
  <c r="E23" i="3"/>
  <c r="E10" i="3"/>
  <c r="E8" i="3"/>
  <c r="E11" i="3"/>
  <c r="E16" i="3"/>
  <c r="E19" i="3"/>
  <c r="E13" i="3"/>
  <c r="E21" i="3"/>
  <c r="E18" i="3"/>
  <c r="E12" i="3"/>
  <c r="E20" i="3"/>
  <c r="E17" i="3"/>
  <c r="E7" i="3"/>
  <c r="E15" i="3"/>
  <c r="E9" i="3"/>
  <c r="E21" i="1"/>
  <c r="E20" i="1"/>
  <c r="E19" i="1"/>
  <c r="E18" i="1"/>
  <c r="G5" i="1"/>
  <c r="I5" i="1"/>
  <c r="J4" i="1"/>
  <c r="H5" i="1"/>
  <c r="E16" i="1"/>
  <c r="E14" i="1"/>
  <c r="E12" i="1"/>
  <c r="E17" i="1"/>
  <c r="E8" i="1"/>
  <c r="E15" i="1"/>
  <c r="E13" i="1"/>
  <c r="E11" i="1"/>
  <c r="E7" i="1"/>
  <c r="E10" i="1"/>
  <c r="E9" i="1"/>
  <c r="F11" i="3" l="1"/>
  <c r="H11" i="3"/>
  <c r="G11" i="3"/>
  <c r="H16" i="3"/>
  <c r="G16" i="3"/>
  <c r="F16" i="3"/>
  <c r="H8" i="3"/>
  <c r="G8" i="3"/>
  <c r="F8" i="3"/>
  <c r="F18" i="3"/>
  <c r="H18" i="3"/>
  <c r="G18" i="3"/>
  <c r="F21" i="3"/>
  <c r="G21" i="3"/>
  <c r="H21" i="3"/>
  <c r="F17" i="3"/>
  <c r="G17" i="3"/>
  <c r="H17" i="3"/>
  <c r="G12" i="3"/>
  <c r="F12" i="3"/>
  <c r="H12" i="3"/>
  <c r="F9" i="3"/>
  <c r="H9" i="3"/>
  <c r="G9" i="3"/>
  <c r="I9" i="3"/>
  <c r="G13" i="3"/>
  <c r="F13" i="3"/>
  <c r="I13" i="3"/>
  <c r="H13" i="3"/>
  <c r="I5" i="3"/>
  <c r="I18" i="3" s="1"/>
  <c r="J4" i="3"/>
  <c r="H7" i="3"/>
  <c r="G7" i="3"/>
  <c r="F7" i="3"/>
  <c r="G20" i="3"/>
  <c r="F20" i="3"/>
  <c r="H20" i="3"/>
  <c r="H10" i="3"/>
  <c r="F10" i="3"/>
  <c r="G10" i="3"/>
  <c r="H15" i="3"/>
  <c r="G15" i="3"/>
  <c r="F15" i="3"/>
  <c r="H19" i="3"/>
  <c r="G19" i="3"/>
  <c r="F19" i="3"/>
  <c r="F14" i="3"/>
  <c r="H14" i="3"/>
  <c r="G14" i="3"/>
  <c r="G21" i="1"/>
  <c r="F21" i="1"/>
  <c r="G20" i="1"/>
  <c r="H20" i="1"/>
  <c r="F20" i="1"/>
  <c r="H21" i="1"/>
  <c r="I21" i="1"/>
  <c r="I20" i="1"/>
  <c r="G18" i="1"/>
  <c r="H18" i="1"/>
  <c r="I18" i="1"/>
  <c r="F18" i="1"/>
  <c r="F19" i="1"/>
  <c r="G19" i="1"/>
  <c r="H19" i="1"/>
  <c r="I19" i="1"/>
  <c r="G17" i="1"/>
  <c r="F17" i="1"/>
  <c r="H17" i="1"/>
  <c r="I17" i="1"/>
  <c r="H12" i="1"/>
  <c r="I12" i="1"/>
  <c r="G12" i="1"/>
  <c r="F12" i="1"/>
  <c r="G7" i="1"/>
  <c r="H7" i="1"/>
  <c r="I7" i="1"/>
  <c r="F7" i="1"/>
  <c r="G9" i="1"/>
  <c r="H9" i="1"/>
  <c r="I9" i="1"/>
  <c r="F9" i="1"/>
  <c r="H10" i="1"/>
  <c r="I10" i="1"/>
  <c r="F10" i="1"/>
  <c r="G10" i="1"/>
  <c r="G14" i="1"/>
  <c r="H14" i="1"/>
  <c r="I14" i="1"/>
  <c r="F14" i="1"/>
  <c r="F16" i="1"/>
  <c r="G16" i="1"/>
  <c r="H16" i="1"/>
  <c r="I16" i="1"/>
  <c r="G11" i="1"/>
  <c r="H11" i="1"/>
  <c r="I11" i="1"/>
  <c r="F11" i="1"/>
  <c r="G13" i="1"/>
  <c r="F13" i="1"/>
  <c r="H13" i="1"/>
  <c r="I13" i="1"/>
  <c r="I15" i="1"/>
  <c r="F15" i="1"/>
  <c r="G15" i="1"/>
  <c r="H15" i="1"/>
  <c r="G8" i="1"/>
  <c r="I8" i="1"/>
  <c r="F8" i="1"/>
  <c r="H8" i="1"/>
  <c r="J5" i="1"/>
  <c r="J17" i="1" s="1"/>
  <c r="K4" i="1"/>
  <c r="I20" i="3" l="1"/>
  <c r="I21" i="3"/>
  <c r="I12" i="3"/>
  <c r="K4" i="3"/>
  <c r="J5" i="3"/>
  <c r="I15" i="3"/>
  <c r="I7" i="3"/>
  <c r="I17" i="3"/>
  <c r="I11" i="3"/>
  <c r="I16" i="3"/>
  <c r="I19" i="3"/>
  <c r="I10" i="3"/>
  <c r="I8" i="3"/>
  <c r="I14" i="3"/>
  <c r="J20" i="1"/>
  <c r="J21" i="1"/>
  <c r="J18" i="1"/>
  <c r="J19" i="1"/>
  <c r="J14" i="1"/>
  <c r="J7" i="1"/>
  <c r="J15" i="1"/>
  <c r="J13" i="1"/>
  <c r="J11" i="1"/>
  <c r="J9" i="1"/>
  <c r="J8" i="1"/>
  <c r="J16" i="1"/>
  <c r="J10" i="1"/>
  <c r="J12" i="1"/>
  <c r="L4" i="1"/>
  <c r="K5" i="1"/>
  <c r="J15" i="3" l="1"/>
  <c r="J19" i="3"/>
  <c r="J17" i="3"/>
  <c r="J10" i="3"/>
  <c r="J11" i="3"/>
  <c r="J16" i="3"/>
  <c r="J9" i="3"/>
  <c r="J7" i="3"/>
  <c r="J21" i="3"/>
  <c r="J20" i="3"/>
  <c r="J8" i="3"/>
  <c r="J18" i="3"/>
  <c r="J12" i="3"/>
  <c r="J13" i="3"/>
  <c r="J14" i="3"/>
  <c r="K5" i="3"/>
  <c r="L4" i="3"/>
  <c r="K21" i="1"/>
  <c r="K20" i="1"/>
  <c r="K18" i="1"/>
  <c r="K19" i="1"/>
  <c r="M4" i="1"/>
  <c r="L5" i="1"/>
  <c r="K13" i="1"/>
  <c r="K8" i="1"/>
  <c r="K10" i="1"/>
  <c r="K14" i="1"/>
  <c r="K16" i="1"/>
  <c r="K17" i="1"/>
  <c r="K12" i="1"/>
  <c r="K9" i="1"/>
  <c r="K7" i="1"/>
  <c r="K11" i="1"/>
  <c r="K15" i="1"/>
  <c r="K9" i="3" l="1"/>
  <c r="K7" i="3"/>
  <c r="K10" i="3"/>
  <c r="K14" i="3"/>
  <c r="K11" i="3"/>
  <c r="K20" i="3"/>
  <c r="K8" i="3"/>
  <c r="K13" i="3"/>
  <c r="K18" i="3"/>
  <c r="K16" i="3"/>
  <c r="K17" i="3"/>
  <c r="K12" i="3"/>
  <c r="K19" i="3"/>
  <c r="K21" i="3"/>
  <c r="K15" i="3"/>
  <c r="L5" i="3"/>
  <c r="M4" i="3"/>
  <c r="L20" i="1"/>
  <c r="L21" i="1"/>
  <c r="L18" i="1"/>
  <c r="L19" i="1"/>
  <c r="L16" i="1"/>
  <c r="L13" i="1"/>
  <c r="L15" i="1"/>
  <c r="L9" i="1"/>
  <c r="L8" i="1"/>
  <c r="L10" i="1"/>
  <c r="L12" i="1"/>
  <c r="L7" i="1"/>
  <c r="L14" i="1"/>
  <c r="L17" i="1"/>
  <c r="L11" i="1"/>
  <c r="N4" i="1"/>
  <c r="M5" i="1"/>
  <c r="L11" i="3" l="1"/>
  <c r="L16" i="3"/>
  <c r="L15" i="3"/>
  <c r="L10" i="3"/>
  <c r="L19" i="3"/>
  <c r="L12" i="3"/>
  <c r="L7" i="3"/>
  <c r="L13" i="3"/>
  <c r="L18" i="3"/>
  <c r="L14" i="3"/>
  <c r="L20" i="3"/>
  <c r="L21" i="3"/>
  <c r="L8" i="3"/>
  <c r="L17" i="3"/>
  <c r="L9" i="3"/>
  <c r="M5" i="3"/>
  <c r="N4" i="3"/>
  <c r="M20" i="1"/>
  <c r="M21" i="1"/>
  <c r="M18" i="1"/>
  <c r="M19" i="1"/>
  <c r="M17" i="1"/>
  <c r="M13" i="1"/>
  <c r="M15" i="1"/>
  <c r="M8" i="1"/>
  <c r="M11" i="1"/>
  <c r="M12" i="1"/>
  <c r="M7" i="1"/>
  <c r="M16" i="1"/>
  <c r="M10" i="1"/>
  <c r="M9" i="1"/>
  <c r="M14" i="1"/>
  <c r="O4" i="1"/>
  <c r="N5" i="1"/>
  <c r="M11" i="3" l="1"/>
  <c r="M14" i="3"/>
  <c r="M17" i="3"/>
  <c r="M10" i="3"/>
  <c r="M16" i="3"/>
  <c r="M12" i="3"/>
  <c r="M19" i="3"/>
  <c r="M13" i="3"/>
  <c r="M20" i="3"/>
  <c r="M18" i="3"/>
  <c r="M8" i="3"/>
  <c r="M9" i="3"/>
  <c r="M7" i="3"/>
  <c r="M15" i="3"/>
  <c r="M21" i="3"/>
  <c r="N5" i="3"/>
  <c r="O4" i="3"/>
  <c r="N20" i="1"/>
  <c r="N21" i="1"/>
  <c r="N18" i="1"/>
  <c r="N19" i="1"/>
  <c r="N15" i="1"/>
  <c r="N14" i="1"/>
  <c r="N7" i="1"/>
  <c r="N16" i="1"/>
  <c r="N13" i="1"/>
  <c r="N12" i="1"/>
  <c r="N11" i="1"/>
  <c r="N10" i="1"/>
  <c r="N8" i="1"/>
  <c r="N17" i="1"/>
  <c r="N9" i="1"/>
  <c r="P4" i="1"/>
  <c r="O5" i="1"/>
  <c r="N17" i="3" l="1"/>
  <c r="N13" i="3"/>
  <c r="N15" i="3"/>
  <c r="N18" i="3"/>
  <c r="N8" i="3"/>
  <c r="N21" i="3"/>
  <c r="N7" i="3"/>
  <c r="N9" i="3"/>
  <c r="N11" i="3"/>
  <c r="N19" i="3"/>
  <c r="N16" i="3"/>
  <c r="N12" i="3"/>
  <c r="N20" i="3"/>
  <c r="N10" i="3"/>
  <c r="N14" i="3"/>
  <c r="P4" i="3"/>
  <c r="O5" i="3"/>
  <c r="O20" i="1"/>
  <c r="O21" i="1"/>
  <c r="O18" i="1"/>
  <c r="O19" i="1"/>
  <c r="Q4" i="1"/>
  <c r="Q5" i="1" s="1"/>
  <c r="P5" i="1"/>
  <c r="O10" i="1"/>
  <c r="O16" i="1"/>
  <c r="O13" i="1"/>
  <c r="O8" i="1"/>
  <c r="O17" i="1"/>
  <c r="O7" i="1"/>
  <c r="O9" i="1"/>
  <c r="O15" i="1"/>
  <c r="O12" i="1"/>
  <c r="O14" i="1"/>
  <c r="O11" i="1"/>
  <c r="Q4" i="3" l="1"/>
  <c r="Q5" i="3" s="1"/>
  <c r="P5" i="3"/>
  <c r="O18" i="3"/>
  <c r="O21" i="3"/>
  <c r="O17" i="3"/>
  <c r="O7" i="3"/>
  <c r="O10" i="3"/>
  <c r="O15" i="3"/>
  <c r="O20" i="3"/>
  <c r="O8" i="3"/>
  <c r="O9" i="3"/>
  <c r="O11" i="3"/>
  <c r="O14" i="3"/>
  <c r="O19" i="3"/>
  <c r="O13" i="3"/>
  <c r="O16" i="3"/>
  <c r="O12" i="3"/>
  <c r="Q20" i="1"/>
  <c r="Q21" i="1"/>
  <c r="P20" i="1"/>
  <c r="P21" i="1"/>
  <c r="P18" i="1"/>
  <c r="P19" i="1"/>
  <c r="Q19" i="1"/>
  <c r="Q18" i="1"/>
  <c r="P14" i="1"/>
  <c r="P11" i="1"/>
  <c r="P13" i="1"/>
  <c r="P12" i="1"/>
  <c r="P17" i="1"/>
  <c r="P7" i="1"/>
  <c r="P8" i="1"/>
  <c r="P9" i="1"/>
  <c r="P10" i="1"/>
  <c r="P16" i="1"/>
  <c r="P15" i="1"/>
  <c r="Q16" i="1"/>
  <c r="Q8" i="1"/>
  <c r="Q9" i="1"/>
  <c r="Q10" i="1"/>
  <c r="Q13" i="1"/>
  <c r="Q15" i="1"/>
  <c r="Q14" i="1"/>
  <c r="Q11" i="1"/>
  <c r="Q7" i="1"/>
  <c r="Q17" i="1"/>
  <c r="Q12" i="1"/>
  <c r="P14" i="3" l="1"/>
  <c r="P20" i="3"/>
  <c r="P11" i="3"/>
  <c r="P18" i="3"/>
  <c r="P12" i="3"/>
  <c r="P17" i="3"/>
  <c r="P21" i="3"/>
  <c r="P15" i="3"/>
  <c r="P16" i="3"/>
  <c r="P8" i="3"/>
  <c r="P9" i="3"/>
  <c r="P7" i="3"/>
  <c r="P10" i="3"/>
  <c r="P13" i="3"/>
  <c r="P19" i="3"/>
  <c r="Q8" i="3"/>
  <c r="Q12" i="3"/>
  <c r="Q10" i="3"/>
  <c r="Q15" i="3"/>
  <c r="Q17" i="3"/>
  <c r="Q9" i="3"/>
  <c r="Q16" i="3"/>
  <c r="Q11" i="3"/>
  <c r="Q21" i="3"/>
  <c r="Q20" i="3"/>
  <c r="Q14" i="3"/>
  <c r="Q18" i="3"/>
  <c r="Q7" i="3"/>
  <c r="Q19" i="3"/>
  <c r="Q13" i="3"/>
</calcChain>
</file>

<file path=xl/sharedStrings.xml><?xml version="1.0" encoding="utf-8"?>
<sst xmlns="http://schemas.openxmlformats.org/spreadsheetml/2006/main" count="131" uniqueCount="69">
  <si>
    <t>Number of pixels on edge</t>
  </si>
  <si>
    <t>Plate scale</t>
  </si>
  <si>
    <t>QE</t>
  </si>
  <si>
    <t>Telescope properties</t>
  </si>
  <si>
    <t>Throughputs</t>
  </si>
  <si>
    <t>Average sky transmission</t>
  </si>
  <si>
    <t>Filter throughput</t>
  </si>
  <si>
    <t>Transmission loss per surface</t>
  </si>
  <si>
    <t>Number of transmission losses</t>
  </si>
  <si>
    <t>Loss per reflection</t>
  </si>
  <si>
    <t>Number of reflections</t>
  </si>
  <si>
    <t>K-dark observing</t>
  </si>
  <si>
    <t>Radians to Arcsec</t>
  </si>
  <si>
    <t>Sky Brightness (Jy arcsec^2)</t>
  </si>
  <si>
    <t>Focal Length (m)</t>
  </si>
  <si>
    <t>Read Noise (e)</t>
  </si>
  <si>
    <t>Dark Current (e/s)</t>
  </si>
  <si>
    <t>Pixel Size (m)</t>
  </si>
  <si>
    <t>Central wavelength (m)</t>
  </si>
  <si>
    <t>Passband (m)</t>
  </si>
  <si>
    <t>Aperture diameter (m)</t>
  </si>
  <si>
    <t>Arcsec to Radians</t>
  </si>
  <si>
    <t>Planck constant</t>
  </si>
  <si>
    <t>h (J s)</t>
  </si>
  <si>
    <t>c (m/s)</t>
  </si>
  <si>
    <t>Jy (J s^-1 m^-2 Hz^-1)</t>
  </si>
  <si>
    <t>Zero point for AB magnitude</t>
  </si>
  <si>
    <t>speed of light</t>
  </si>
  <si>
    <t>Jansky in SI units</t>
  </si>
  <si>
    <t>Pixel size in radians</t>
  </si>
  <si>
    <t>Plate scale (Pixel size in arcsec)</t>
  </si>
  <si>
    <t>Conversions</t>
  </si>
  <si>
    <t>Constants</t>
  </si>
  <si>
    <t>Bandwidth characteristics</t>
  </si>
  <si>
    <t>F0 (J s^-1 m^-2 Hz^-1)</t>
  </si>
  <si>
    <t>Photon frequency at band center</t>
  </si>
  <si>
    <t>nu0 (Hz)</t>
  </si>
  <si>
    <t>E0 (J)</t>
  </si>
  <si>
    <t>Photon energy at band center</t>
  </si>
  <si>
    <t>Bandwidth</t>
  </si>
  <si>
    <t>Delta nu (Hz)</t>
  </si>
  <si>
    <t>Optical throughput</t>
  </si>
  <si>
    <t>Transmission</t>
  </si>
  <si>
    <t>Collecting area/Transmission</t>
  </si>
  <si>
    <t>Telescope's collecting area</t>
  </si>
  <si>
    <t>Obscurations to the incident light</t>
  </si>
  <si>
    <t>Fraction of photons at top of the atmosphere that make it to the detector</t>
  </si>
  <si>
    <t xml:space="preserve">Input Parameters </t>
  </si>
  <si>
    <t>neff</t>
  </si>
  <si>
    <t>Effective number of pixels</t>
  </si>
  <si>
    <t>Source rate (e/s)</t>
  </si>
  <si>
    <t>AB Magnitude</t>
  </si>
  <si>
    <t>Beam obstruction (m^2)</t>
  </si>
  <si>
    <t>Unobstructed area (m^2)</t>
  </si>
  <si>
    <t>for now, assuming that all light from a source falls on one pixel due to PSF undersampling</t>
  </si>
  <si>
    <t xml:space="preserve">Coadds </t>
  </si>
  <si>
    <t>Usable values (do not modify)</t>
  </si>
  <si>
    <t>Integration time (s)</t>
  </si>
  <si>
    <t xml:space="preserve">SNR </t>
  </si>
  <si>
    <t>Frame Time (s)</t>
  </si>
  <si>
    <t>Desired SNR</t>
  </si>
  <si>
    <t>For input sky brightness</t>
  </si>
  <si>
    <t>Observable conditions given the desired SNR are highlighted in green, not observable in red</t>
  </si>
  <si>
    <t xml:space="preserve">*Note that this is an estimation based on the size of the focal plane + some fudge factor </t>
  </si>
  <si>
    <t>Cryoscope Pathfinder Excel ETC (09132023)</t>
  </si>
  <si>
    <t>Cryoscope Full Scale Excel ETC (09132023)</t>
  </si>
  <si>
    <t>Measured from design, includes detector housing+spider vanes in FOV</t>
  </si>
  <si>
    <t>Sky rate (e/s/pix)</t>
  </si>
  <si>
    <t>Sky rate (e/s)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</si>
</sst>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2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  <xf numFmtId="0" fontId="1" fillId="0" borderId="3" xfId="0" applyFont="1" applyBorder="1"/>
    <xf numFmtId="0" fontId="3" fillId="0" borderId="0" xfId="0" applyFont="1"/>
    <xf numFmtId="11" fontId="3" fillId="0" borderId="0" xfId="0" applyNumberFormat="1" applyFont="1"/>
    <xf numFmtId="3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B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8DD-D1C8-CB4C-8296-CC22CADB6B09}">
  <dimension ref="A1:R58"/>
  <sheetViews>
    <sheetView tabSelected="1" zoomScaleNormal="100" workbookViewId="0">
      <selection activeCell="B9" sqref="B9"/>
    </sheetView>
  </sheetViews>
  <sheetFormatPr baseColWidth="10" defaultRowHeight="16"/>
  <cols>
    <col min="1" max="1" width="26.5" customWidth="1"/>
    <col min="2" max="2" width="12.1640625" bestFit="1" customWidth="1"/>
    <col min="3" max="3" width="28" customWidth="1"/>
    <col min="4" max="4" width="18.5" customWidth="1"/>
    <col min="5" max="5" width="17.83203125" customWidth="1"/>
  </cols>
  <sheetData>
    <row r="1" spans="1:18">
      <c r="A1" t="s">
        <v>64</v>
      </c>
    </row>
    <row r="2" spans="1:18">
      <c r="A2" s="11" t="s">
        <v>47</v>
      </c>
      <c r="B2" s="11"/>
      <c r="D2" t="s">
        <v>62</v>
      </c>
    </row>
    <row r="3" spans="1:18">
      <c r="A3" s="1" t="s">
        <v>3</v>
      </c>
      <c r="D3" t="s">
        <v>60</v>
      </c>
      <c r="E3" s="4">
        <v>5</v>
      </c>
    </row>
    <row r="4" spans="1:18">
      <c r="A4" t="s">
        <v>59</v>
      </c>
      <c r="B4">
        <v>2</v>
      </c>
      <c r="F4">
        <v>2</v>
      </c>
      <c r="G4">
        <f>F4*2</f>
        <v>4</v>
      </c>
      <c r="H4">
        <f t="shared" ref="H4:Q4" si="0">G4*2</f>
        <v>8</v>
      </c>
      <c r="I4">
        <f t="shared" si="0"/>
        <v>16</v>
      </c>
      <c r="J4">
        <f t="shared" si="0"/>
        <v>32</v>
      </c>
      <c r="K4">
        <f t="shared" si="0"/>
        <v>64</v>
      </c>
      <c r="L4">
        <f t="shared" si="0"/>
        <v>128</v>
      </c>
      <c r="M4">
        <f t="shared" si="0"/>
        <v>256</v>
      </c>
      <c r="N4">
        <f t="shared" si="0"/>
        <v>512</v>
      </c>
      <c r="O4">
        <f t="shared" si="0"/>
        <v>1024</v>
      </c>
      <c r="P4">
        <f t="shared" si="0"/>
        <v>2048</v>
      </c>
      <c r="Q4">
        <f t="shared" si="0"/>
        <v>4096</v>
      </c>
      <c r="R4" t="s">
        <v>55</v>
      </c>
    </row>
    <row r="5" spans="1:18">
      <c r="A5" t="s">
        <v>13</v>
      </c>
      <c r="B5" s="2">
        <v>1.2E-4</v>
      </c>
      <c r="F5" s="7">
        <f>F4*$B$4</f>
        <v>4</v>
      </c>
      <c r="G5" s="7">
        <f t="shared" ref="G5:K5" si="1">G4*$B$4</f>
        <v>8</v>
      </c>
      <c r="H5" s="7">
        <f t="shared" si="1"/>
        <v>16</v>
      </c>
      <c r="I5" s="7">
        <f t="shared" si="1"/>
        <v>32</v>
      </c>
      <c r="J5" s="7">
        <f t="shared" si="1"/>
        <v>64</v>
      </c>
      <c r="K5" s="7">
        <f t="shared" si="1"/>
        <v>128</v>
      </c>
      <c r="L5" s="7">
        <f t="shared" ref="L5" si="2">L4*$B$4</f>
        <v>256</v>
      </c>
      <c r="M5" s="7">
        <f t="shared" ref="M5" si="3">M4*$B$4</f>
        <v>512</v>
      </c>
      <c r="N5" s="7">
        <f t="shared" ref="N5" si="4">N4*$B$4</f>
        <v>1024</v>
      </c>
      <c r="O5" s="7">
        <f t="shared" ref="O5" si="5">O4*$B$4</f>
        <v>2048</v>
      </c>
      <c r="P5" s="7">
        <f t="shared" ref="P5" si="6">P4*$B$4</f>
        <v>4096</v>
      </c>
      <c r="Q5" s="7">
        <f t="shared" ref="Q5" si="7">Q4*$B$4</f>
        <v>8192</v>
      </c>
      <c r="R5" s="1" t="s">
        <v>57</v>
      </c>
    </row>
    <row r="6" spans="1:18">
      <c r="A6" t="s">
        <v>14</v>
      </c>
      <c r="B6">
        <v>0.52500000000000002</v>
      </c>
      <c r="D6" s="1" t="s">
        <v>51</v>
      </c>
      <c r="E6" s="1" t="s">
        <v>50</v>
      </c>
      <c r="F6" s="12" t="s">
        <v>58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8">
      <c r="A7" t="s">
        <v>15</v>
      </c>
      <c r="B7">
        <v>15</v>
      </c>
      <c r="D7" s="1">
        <v>10</v>
      </c>
      <c r="E7" s="6">
        <f>(($B$36*10^(-0.4*D7))/$B$42) * $B$11 * $B$46 * $B$43 * $B$48</f>
        <v>20438.608248904839</v>
      </c>
      <c r="F7" s="5">
        <f t="shared" ref="F7:Q7" si="8">($E$7*F$5)/SQRT($E$7*F$5 + $E$23*F$5 + ($B$52*(F$4*($B$7^2)+($B$8*F$5))))</f>
        <v>282.82787412425989</v>
      </c>
      <c r="G7" s="5">
        <f t="shared" si="8"/>
        <v>399.97901540367889</v>
      </c>
      <c r="H7" s="5">
        <f t="shared" si="8"/>
        <v>565.65574824851979</v>
      </c>
      <c r="I7" s="5">
        <f t="shared" si="8"/>
        <v>799.95803080735777</v>
      </c>
      <c r="J7" s="5">
        <f t="shared" si="8"/>
        <v>1131.3114964970396</v>
      </c>
      <c r="K7" s="5">
        <f t="shared" si="8"/>
        <v>1599.9160616147155</v>
      </c>
      <c r="L7" s="5">
        <f t="shared" si="8"/>
        <v>2262.6229929940791</v>
      </c>
      <c r="M7" s="5">
        <f t="shared" si="8"/>
        <v>3199.8321232294311</v>
      </c>
      <c r="N7" s="5">
        <f t="shared" si="8"/>
        <v>4525.2459859881583</v>
      </c>
      <c r="O7" s="5">
        <f t="shared" si="8"/>
        <v>6399.6642464588622</v>
      </c>
      <c r="P7" s="5">
        <f t="shared" si="8"/>
        <v>9050.4919719763166</v>
      </c>
      <c r="Q7" s="5">
        <f t="shared" si="8"/>
        <v>12799.328492917724</v>
      </c>
    </row>
    <row r="8" spans="1:18">
      <c r="A8" t="s">
        <v>16</v>
      </c>
      <c r="B8">
        <v>0.1</v>
      </c>
      <c r="D8" s="1">
        <v>11</v>
      </c>
      <c r="E8" s="6">
        <f t="shared" ref="E8:E21" si="9">(($B$36*10^(-0.4*D8))/$B$42) * $B$11 * $B$46 * $B$43 * $B$48</f>
        <v>8136.7565000228551</v>
      </c>
      <c r="F8" s="5">
        <f t="shared" ref="F8:Q8" si="10">($E$8*F$5)/SQRT($E$8*F$5 + $E$23*F$5 + ($B$52*(F$4*($B$7^2)+($B$8*F$5))))</f>
        <v>175.61279338663738</v>
      </c>
      <c r="G8" s="5">
        <f t="shared" si="10"/>
        <v>248.35399413360676</v>
      </c>
      <c r="H8" s="5">
        <f t="shared" si="10"/>
        <v>351.22558677327476</v>
      </c>
      <c r="I8" s="5">
        <f t="shared" si="10"/>
        <v>496.70798826721352</v>
      </c>
      <c r="J8" s="5">
        <f t="shared" si="10"/>
        <v>702.45117354654951</v>
      </c>
      <c r="K8" s="5">
        <f t="shared" si="10"/>
        <v>993.41597653442705</v>
      </c>
      <c r="L8" s="5">
        <f t="shared" si="10"/>
        <v>1404.902347093099</v>
      </c>
      <c r="M8" s="5">
        <f t="shared" si="10"/>
        <v>1986.8319530688541</v>
      </c>
      <c r="N8" s="5">
        <f t="shared" si="10"/>
        <v>2809.804694186198</v>
      </c>
      <c r="O8" s="5">
        <f t="shared" si="10"/>
        <v>3973.6639061377082</v>
      </c>
      <c r="P8" s="5">
        <f t="shared" si="10"/>
        <v>5619.6093883723961</v>
      </c>
      <c r="Q8" s="5">
        <f t="shared" si="10"/>
        <v>7947.3278122754164</v>
      </c>
    </row>
    <row r="9" spans="1:18">
      <c r="A9" t="s">
        <v>17</v>
      </c>
      <c r="B9" s="2">
        <v>1.8E-5</v>
      </c>
      <c r="D9" s="1">
        <v>12</v>
      </c>
      <c r="E9" s="6">
        <f t="shared" si="9"/>
        <v>3239.3011077068763</v>
      </c>
      <c r="F9" s="5">
        <f t="shared" ref="F9:Q9" si="11">($E$9*F$5)/SQRT($E$9*F$5 + $E$23*F$5 + ($B$52*(F$4*($B$7^2)+($B$8*F$5))))</f>
        <v>106.65583399960785</v>
      </c>
      <c r="G9" s="5">
        <f t="shared" si="11"/>
        <v>150.8341269484589</v>
      </c>
      <c r="H9" s="5">
        <f t="shared" si="11"/>
        <v>213.3116679992157</v>
      </c>
      <c r="I9" s="5">
        <f t="shared" si="11"/>
        <v>301.6682538969178</v>
      </c>
      <c r="J9" s="5">
        <f t="shared" si="11"/>
        <v>426.6233359984314</v>
      </c>
      <c r="K9" s="5">
        <f t="shared" si="11"/>
        <v>603.33650779383561</v>
      </c>
      <c r="L9" s="5">
        <f t="shared" si="11"/>
        <v>853.2466719968628</v>
      </c>
      <c r="M9" s="5">
        <f t="shared" si="11"/>
        <v>1206.6730155876712</v>
      </c>
      <c r="N9" s="5">
        <f t="shared" si="11"/>
        <v>1706.4933439937256</v>
      </c>
      <c r="O9" s="5">
        <f t="shared" si="11"/>
        <v>2413.3460311753424</v>
      </c>
      <c r="P9" s="5">
        <f t="shared" si="11"/>
        <v>3412.9866879874512</v>
      </c>
      <c r="Q9" s="5">
        <f t="shared" si="11"/>
        <v>4826.6920623506849</v>
      </c>
    </row>
    <row r="10" spans="1:18">
      <c r="D10" s="1">
        <v>13</v>
      </c>
      <c r="E10" s="6">
        <f t="shared" si="9"/>
        <v>1289.5889985599945</v>
      </c>
      <c r="F10" s="5">
        <f t="shared" ref="F10:Q10" si="12">($E$10*F$5)/SQRT($E$10*F$5 + $E$23*F$5 + ($B$52*(F$4*($B$7^2)+($B$8*F$5))))</f>
        <v>61.830921493944608</v>
      </c>
      <c r="G10" s="5">
        <f t="shared" si="12"/>
        <v>87.442127750762566</v>
      </c>
      <c r="H10" s="5">
        <f t="shared" si="12"/>
        <v>123.66184298788922</v>
      </c>
      <c r="I10" s="5">
        <f t="shared" si="12"/>
        <v>174.88425550152513</v>
      </c>
      <c r="J10" s="5">
        <f t="shared" si="12"/>
        <v>247.32368597577843</v>
      </c>
      <c r="K10" s="5">
        <f t="shared" si="12"/>
        <v>349.76851100305026</v>
      </c>
      <c r="L10" s="5">
        <f t="shared" si="12"/>
        <v>494.64737195155686</v>
      </c>
      <c r="M10" s="5">
        <f t="shared" si="12"/>
        <v>699.53702200610053</v>
      </c>
      <c r="N10" s="5">
        <f t="shared" si="12"/>
        <v>989.29474390311373</v>
      </c>
      <c r="O10" s="5">
        <f t="shared" si="12"/>
        <v>1399.0740440122011</v>
      </c>
      <c r="P10" s="5">
        <f t="shared" si="12"/>
        <v>1978.5894878062275</v>
      </c>
      <c r="Q10" s="5">
        <f t="shared" si="12"/>
        <v>2798.1480880244021</v>
      </c>
    </row>
    <row r="11" spans="1:18">
      <c r="A11" t="s">
        <v>2</v>
      </c>
      <c r="B11">
        <v>0.9</v>
      </c>
      <c r="D11" s="1">
        <v>14</v>
      </c>
      <c r="E11" s="6">
        <f t="shared" si="9"/>
        <v>513.39462739363762</v>
      </c>
      <c r="F11" s="5">
        <f t="shared" ref="F11:Q11" si="13">($E$11*F$5)/SQRT($E$11*F$5 + $E$23*F$5 + ($B$52*(F$4*($B$7^2)+($B$8*F$5))))</f>
        <v>33.073856000023554</v>
      </c>
      <c r="G11" s="5">
        <f t="shared" si="13"/>
        <v>46.773495715208078</v>
      </c>
      <c r="H11" s="5">
        <f t="shared" si="13"/>
        <v>66.147712000047107</v>
      </c>
      <c r="I11" s="5">
        <f t="shared" si="13"/>
        <v>93.546991430416156</v>
      </c>
      <c r="J11" s="5">
        <f t="shared" si="13"/>
        <v>132.29542400009421</v>
      </c>
      <c r="K11" s="5">
        <f t="shared" si="13"/>
        <v>187.09398286083231</v>
      </c>
      <c r="L11" s="5">
        <f t="shared" si="13"/>
        <v>264.59084800018843</v>
      </c>
      <c r="M11" s="5">
        <f t="shared" si="13"/>
        <v>374.18796572166463</v>
      </c>
      <c r="N11" s="5">
        <f t="shared" si="13"/>
        <v>529.18169600037686</v>
      </c>
      <c r="O11" s="5">
        <f t="shared" si="13"/>
        <v>748.37593144332925</v>
      </c>
      <c r="P11" s="5">
        <f t="shared" si="13"/>
        <v>1058.3633920007537</v>
      </c>
      <c r="Q11" s="5">
        <f t="shared" si="13"/>
        <v>1496.7518628866585</v>
      </c>
    </row>
    <row r="12" spans="1:18">
      <c r="A12" t="s">
        <v>20</v>
      </c>
      <c r="B12">
        <v>0.26</v>
      </c>
      <c r="D12" s="1">
        <v>15</v>
      </c>
      <c r="E12" s="6">
        <f t="shared" si="9"/>
        <v>204.38608248904833</v>
      </c>
      <c r="F12" s="5">
        <f t="shared" ref="F12:Q12" si="14">($E$12*F$5)/SQRT($E$12*F$5 + $E$23*F$5 + ($B$52*(F$4*($B$7^2)+($B$8*F$5))))</f>
        <v>15.974429754314798</v>
      </c>
      <c r="G12" s="5">
        <f t="shared" si="14"/>
        <v>22.591255209728295</v>
      </c>
      <c r="H12" s="5">
        <f t="shared" si="14"/>
        <v>31.948859508629596</v>
      </c>
      <c r="I12" s="5">
        <f t="shared" si="14"/>
        <v>45.182510419456591</v>
      </c>
      <c r="J12" s="5">
        <f t="shared" si="14"/>
        <v>63.897719017259192</v>
      </c>
      <c r="K12" s="5">
        <f t="shared" si="14"/>
        <v>90.365020838913182</v>
      </c>
      <c r="L12" s="5">
        <f t="shared" si="14"/>
        <v>127.79543803451838</v>
      </c>
      <c r="M12" s="5">
        <f t="shared" si="14"/>
        <v>180.73004167782636</v>
      </c>
      <c r="N12" s="5">
        <f t="shared" si="14"/>
        <v>255.59087606903677</v>
      </c>
      <c r="O12" s="5">
        <f t="shared" si="14"/>
        <v>361.46008335565273</v>
      </c>
      <c r="P12" s="5">
        <f t="shared" si="14"/>
        <v>511.18175213807353</v>
      </c>
      <c r="Q12" s="5">
        <f t="shared" si="14"/>
        <v>722.92016671130546</v>
      </c>
    </row>
    <row r="13" spans="1:18">
      <c r="D13" s="1">
        <v>16</v>
      </c>
      <c r="E13" s="6">
        <f t="shared" si="9"/>
        <v>81.367565000228524</v>
      </c>
      <c r="F13" s="5">
        <f t="shared" ref="F13:Q13" si="15">($E$13*F$5)/SQRT($E$13*F$5 + $E$23*F$5 + ($B$52*(F$4*($B$7^2)+($B$8*F$5))))</f>
        <v>7.0568798019711805</v>
      </c>
      <c r="G13" s="5">
        <f t="shared" si="15"/>
        <v>9.9799351239844043</v>
      </c>
      <c r="H13" s="5">
        <f t="shared" si="15"/>
        <v>14.113759603942361</v>
      </c>
      <c r="I13" s="5">
        <f t="shared" si="15"/>
        <v>19.959870247968809</v>
      </c>
      <c r="J13" s="5">
        <f t="shared" si="15"/>
        <v>28.227519207884722</v>
      </c>
      <c r="K13" s="5">
        <f t="shared" si="15"/>
        <v>39.919740495937617</v>
      </c>
      <c r="L13" s="5">
        <f t="shared" si="15"/>
        <v>56.455038415769444</v>
      </c>
      <c r="M13" s="5">
        <f t="shared" si="15"/>
        <v>79.839480991875234</v>
      </c>
      <c r="N13" s="5">
        <f t="shared" si="15"/>
        <v>112.91007683153889</v>
      </c>
      <c r="O13" s="5">
        <f t="shared" si="15"/>
        <v>159.67896198375047</v>
      </c>
      <c r="P13" s="5">
        <f t="shared" si="15"/>
        <v>225.82015366307778</v>
      </c>
      <c r="Q13" s="5">
        <f t="shared" si="15"/>
        <v>319.35792396750094</v>
      </c>
    </row>
    <row r="14" spans="1:18">
      <c r="A14" s="1" t="s">
        <v>4</v>
      </c>
      <c r="D14" s="1">
        <v>17</v>
      </c>
      <c r="E14" s="6">
        <f t="shared" si="9"/>
        <v>32.393011077068749</v>
      </c>
      <c r="F14" s="5">
        <f t="shared" ref="F14:Q14" si="16">($E$14*F$5)/SQRT($E$14*F$5 + $E$23*F$5 + ($B$52*(F$4*($B$7^2)+($B$8*F$5))))</f>
        <v>2.9484405587011335</v>
      </c>
      <c r="G14" s="5">
        <f t="shared" si="16"/>
        <v>4.1697246259660492</v>
      </c>
      <c r="H14" s="5">
        <f t="shared" si="16"/>
        <v>5.8968811174022671</v>
      </c>
      <c r="I14" s="5">
        <f t="shared" si="16"/>
        <v>8.3394492519320984</v>
      </c>
      <c r="J14" s="5">
        <f t="shared" si="16"/>
        <v>11.793762234804534</v>
      </c>
      <c r="K14" s="5">
        <f t="shared" si="16"/>
        <v>16.678898503864197</v>
      </c>
      <c r="L14" s="5">
        <f t="shared" si="16"/>
        <v>23.587524469609068</v>
      </c>
      <c r="M14" s="5">
        <f t="shared" si="16"/>
        <v>33.357797007728394</v>
      </c>
      <c r="N14" s="5">
        <f t="shared" si="16"/>
        <v>47.175048939218136</v>
      </c>
      <c r="O14" s="5">
        <f t="shared" si="16"/>
        <v>66.715594015456787</v>
      </c>
      <c r="P14" s="5">
        <f t="shared" si="16"/>
        <v>94.350097878436273</v>
      </c>
      <c r="Q14" s="5">
        <f t="shared" si="16"/>
        <v>133.43118803091357</v>
      </c>
    </row>
    <row r="15" spans="1:18">
      <c r="A15" t="s">
        <v>5</v>
      </c>
      <c r="B15">
        <v>0.95</v>
      </c>
      <c r="D15" s="1">
        <v>18</v>
      </c>
      <c r="E15" s="6">
        <f t="shared" si="9"/>
        <v>12.895889985599938</v>
      </c>
      <c r="F15" s="5">
        <f t="shared" ref="F15:Q15" si="17">($E$15*F$5)/SQRT($E$15*F$5 + $E$23*F$5 + ($B$52*(F$4*($B$7^2)+($B$8*F$5))))</f>
        <v>1.1982385415432433</v>
      </c>
      <c r="G15" s="5">
        <f t="shared" si="17"/>
        <v>1.6945651964086119</v>
      </c>
      <c r="H15" s="5">
        <f t="shared" si="17"/>
        <v>2.3964770830864865</v>
      </c>
      <c r="I15" s="5">
        <f t="shared" si="17"/>
        <v>3.3891303928172238</v>
      </c>
      <c r="J15" s="5">
        <f t="shared" si="17"/>
        <v>4.7929541661729731</v>
      </c>
      <c r="K15" s="5">
        <f t="shared" si="17"/>
        <v>6.7782607856344477</v>
      </c>
      <c r="L15" s="5">
        <f t="shared" si="17"/>
        <v>9.5859083323459462</v>
      </c>
      <c r="M15" s="5">
        <f t="shared" si="17"/>
        <v>13.556521571268895</v>
      </c>
      <c r="N15" s="5">
        <f t="shared" si="17"/>
        <v>19.171816664691892</v>
      </c>
      <c r="O15" s="5">
        <f t="shared" si="17"/>
        <v>27.113043142537791</v>
      </c>
      <c r="P15" s="5">
        <f t="shared" si="17"/>
        <v>38.343633329383785</v>
      </c>
      <c r="Q15" s="5">
        <f t="shared" si="17"/>
        <v>54.226086285075581</v>
      </c>
    </row>
    <row r="16" spans="1:18">
      <c r="A16" t="s">
        <v>6</v>
      </c>
      <c r="B16">
        <v>0.98</v>
      </c>
      <c r="D16" s="1">
        <v>19</v>
      </c>
      <c r="E16" s="6">
        <f t="shared" si="9"/>
        <v>5.1339462739363739</v>
      </c>
      <c r="F16" s="5">
        <f t="shared" ref="F16:Q16" si="18">($E$16*F$5)/SQRT($E$16*F$5 + $E$23*F$5 + ($B$52*(F$4*($B$7^2)+($B$8*F$5))))</f>
        <v>0.48107411025379643</v>
      </c>
      <c r="G16" s="5">
        <f t="shared" si="18"/>
        <v>0.68034153122748853</v>
      </c>
      <c r="H16" s="5">
        <f t="shared" si="18"/>
        <v>0.96214822050759286</v>
      </c>
      <c r="I16" s="5">
        <f t="shared" si="18"/>
        <v>1.3606830624549771</v>
      </c>
      <c r="J16" s="5">
        <f t="shared" si="18"/>
        <v>1.9242964410151857</v>
      </c>
      <c r="K16" s="5">
        <f t="shared" si="18"/>
        <v>2.7213661249099541</v>
      </c>
      <c r="L16" s="5">
        <f t="shared" si="18"/>
        <v>3.8485928820303714</v>
      </c>
      <c r="M16" s="5">
        <f t="shared" si="18"/>
        <v>5.4427322498199082</v>
      </c>
      <c r="N16" s="5">
        <f t="shared" si="18"/>
        <v>7.6971857640607428</v>
      </c>
      <c r="O16" s="5">
        <f t="shared" si="18"/>
        <v>10.885464499639816</v>
      </c>
      <c r="P16" s="5">
        <f t="shared" si="18"/>
        <v>15.394371528121486</v>
      </c>
      <c r="Q16" s="5">
        <f t="shared" si="18"/>
        <v>21.770928999279633</v>
      </c>
    </row>
    <row r="17" spans="1:17">
      <c r="A17" t="s">
        <v>7</v>
      </c>
      <c r="B17">
        <v>5.0000000000000001E-3</v>
      </c>
      <c r="D17" s="1">
        <v>20</v>
      </c>
      <c r="E17" s="6">
        <f t="shared" si="9"/>
        <v>2.0438608248904839</v>
      </c>
      <c r="F17" s="5">
        <f t="shared" ref="F17:Q17" si="19">($E$17*F$5)/SQRT($E$17*F$5 + $E$23*F$5 + ($B$52*(F$4*($B$7^2)+($B$8*F$5))))</f>
        <v>0.19217192800143526</v>
      </c>
      <c r="G17" s="5">
        <f t="shared" si="19"/>
        <v>0.27177214688701568</v>
      </c>
      <c r="H17" s="5">
        <f t="shared" si="19"/>
        <v>0.38434385600287052</v>
      </c>
      <c r="I17" s="5">
        <f t="shared" si="19"/>
        <v>0.54354429377403135</v>
      </c>
      <c r="J17" s="5">
        <f t="shared" si="19"/>
        <v>0.76868771200574104</v>
      </c>
      <c r="K17" s="5">
        <f t="shared" si="19"/>
        <v>1.0870885875480627</v>
      </c>
      <c r="L17" s="5">
        <f t="shared" si="19"/>
        <v>1.5373754240114821</v>
      </c>
      <c r="M17" s="5">
        <f t="shared" si="19"/>
        <v>2.1741771750961254</v>
      </c>
      <c r="N17" s="5">
        <f t="shared" si="19"/>
        <v>3.0747508480229642</v>
      </c>
      <c r="O17" s="5">
        <f t="shared" si="19"/>
        <v>4.3483543501922508</v>
      </c>
      <c r="P17" s="5">
        <f t="shared" si="19"/>
        <v>6.1495016960459283</v>
      </c>
      <c r="Q17" s="5">
        <f t="shared" si="19"/>
        <v>8.6967087003845016</v>
      </c>
    </row>
    <row r="18" spans="1:17">
      <c r="A18" t="s">
        <v>8</v>
      </c>
      <c r="B18">
        <v>4</v>
      </c>
      <c r="D18" s="1">
        <v>21</v>
      </c>
      <c r="E18" s="6">
        <f t="shared" si="9"/>
        <v>0.81367565000228614</v>
      </c>
      <c r="F18" s="5">
        <f>($E$18*F$5)/SQRT($E$18*F$5 + $E$23*F$5 + ($B$52*(F$4*($B$7^2)+($B$8*F$5))))</f>
        <v>7.6609238516817127E-2</v>
      </c>
      <c r="G18" s="5">
        <f t="shared" ref="G18:Q18" si="20">($E$18*G$5)/SQRT($E$18*G$5 + $E$23*G$5 + ($B$52*(G$4*($B$7^2)+($B$8*G$5))))</f>
        <v>0.10834182411355807</v>
      </c>
      <c r="H18" s="5">
        <f t="shared" si="20"/>
        <v>0.15321847703363425</v>
      </c>
      <c r="I18" s="5">
        <f t="shared" si="20"/>
        <v>0.21668364822711614</v>
      </c>
      <c r="J18" s="5">
        <f t="shared" si="20"/>
        <v>0.30643695406726851</v>
      </c>
      <c r="K18" s="5">
        <f t="shared" si="20"/>
        <v>0.43336729645423228</v>
      </c>
      <c r="L18" s="5">
        <f t="shared" si="20"/>
        <v>0.61287390813453702</v>
      </c>
      <c r="M18" s="5">
        <f t="shared" si="20"/>
        <v>0.86673459290846455</v>
      </c>
      <c r="N18" s="5">
        <f t="shared" si="20"/>
        <v>1.225747816269074</v>
      </c>
      <c r="O18" s="5">
        <f t="shared" si="20"/>
        <v>1.7334691858169291</v>
      </c>
      <c r="P18" s="5">
        <f t="shared" si="20"/>
        <v>2.4514956325381481</v>
      </c>
      <c r="Q18" s="5">
        <f t="shared" si="20"/>
        <v>3.4669383716338582</v>
      </c>
    </row>
    <row r="19" spans="1:17">
      <c r="A19" t="s">
        <v>9</v>
      </c>
      <c r="B19">
        <v>0.04</v>
      </c>
      <c r="D19" s="1">
        <v>22</v>
      </c>
      <c r="E19" s="6">
        <f t="shared" si="9"/>
        <v>0.32393011077068684</v>
      </c>
      <c r="F19" s="5">
        <f>($E$19*F$5)/SQRT($E$19*F$5 + $E$23*F$5 + ($B$52*(F$4*($B$7^2)+($B$8*F$5))))</f>
        <v>3.0515251557016281E-2</v>
      </c>
      <c r="G19" s="5">
        <f t="shared" ref="G19:Q19" si="21">($E$19*G$5)/SQRT($E$19*G$5 + $E$23*G$5 + ($B$52*(G$4*($B$7^2)+($B$8*G$5))))</f>
        <v>4.3155082611159128E-2</v>
      </c>
      <c r="H19" s="5">
        <f t="shared" si="21"/>
        <v>6.1030503114032561E-2</v>
      </c>
      <c r="I19" s="5">
        <f t="shared" si="21"/>
        <v>8.6310165222318255E-2</v>
      </c>
      <c r="J19" s="5">
        <f t="shared" si="21"/>
        <v>0.12206100622806512</v>
      </c>
      <c r="K19" s="5">
        <f t="shared" si="21"/>
        <v>0.17262033044463651</v>
      </c>
      <c r="L19" s="5">
        <f t="shared" si="21"/>
        <v>0.24412201245613024</v>
      </c>
      <c r="M19" s="5">
        <f t="shared" si="21"/>
        <v>0.34524066088927302</v>
      </c>
      <c r="N19" s="5">
        <f t="shared" si="21"/>
        <v>0.48824402491226049</v>
      </c>
      <c r="O19" s="5">
        <f t="shared" si="21"/>
        <v>0.69048132177854604</v>
      </c>
      <c r="P19" s="5">
        <f t="shared" si="21"/>
        <v>0.97648804982452098</v>
      </c>
      <c r="Q19" s="5">
        <f t="shared" si="21"/>
        <v>1.3809626435570921</v>
      </c>
    </row>
    <row r="20" spans="1:17">
      <c r="A20" t="s">
        <v>10</v>
      </c>
      <c r="B20">
        <v>1</v>
      </c>
      <c r="D20" s="1">
        <v>23</v>
      </c>
      <c r="E20" s="6">
        <f t="shared" si="9"/>
        <v>0.12895889985599909</v>
      </c>
      <c r="F20" s="5">
        <f>($E$20*F$5)/SQRT($E$20*F$5 + $E$23*F$5 + ($B$52*(F$4*($B$7^2)+($B$8*F$5))))</f>
        <v>1.21509687240873E-2</v>
      </c>
      <c r="G20" s="5">
        <f t="shared" ref="G20:Q20" si="22">($E$20*G$5)/SQRT($E$20*G$5 + $E$23*G$5 + ($B$52*(G$4*($B$7^2)+($B$8*G$5))))</f>
        <v>1.7184064765575564E-2</v>
      </c>
      <c r="H20" s="5">
        <f t="shared" si="22"/>
        <v>2.4301937448174601E-2</v>
      </c>
      <c r="I20" s="5">
        <f t="shared" si="22"/>
        <v>3.4368129531151127E-2</v>
      </c>
      <c r="J20" s="5">
        <f t="shared" si="22"/>
        <v>4.8603874896349201E-2</v>
      </c>
      <c r="K20" s="5">
        <f t="shared" si="22"/>
        <v>6.8736259062302255E-2</v>
      </c>
      <c r="L20" s="5">
        <f t="shared" si="22"/>
        <v>9.7207749792698403E-2</v>
      </c>
      <c r="M20" s="5">
        <f t="shared" si="22"/>
        <v>0.13747251812460451</v>
      </c>
      <c r="N20" s="5">
        <f t="shared" si="22"/>
        <v>0.19441549958539681</v>
      </c>
      <c r="O20" s="5">
        <f t="shared" si="22"/>
        <v>0.27494503624920902</v>
      </c>
      <c r="P20" s="5">
        <f t="shared" si="22"/>
        <v>0.38883099917079361</v>
      </c>
      <c r="Q20" s="5">
        <f t="shared" si="22"/>
        <v>0.54989007249841804</v>
      </c>
    </row>
    <row r="21" spans="1:17">
      <c r="D21" s="1">
        <v>24</v>
      </c>
      <c r="E21" s="6">
        <f t="shared" si="9"/>
        <v>5.1339462739363621E-2</v>
      </c>
      <c r="F21" s="5">
        <f>($E$21*F$5)/SQRT($E$21*F$5 + $E$23*F$5 + ($B$52*(F$4*($B$7^2)+($B$8*F$5))))</f>
        <v>4.8378045196732136E-3</v>
      </c>
      <c r="G21" s="5">
        <f t="shared" ref="G21:Q21" si="23">($E$21*G$5)/SQRT($E$21*G$5 + $E$23*G$5 + ($B$52*(G$4*($B$7^2)+($B$8*G$5))))</f>
        <v>6.841688763831716E-3</v>
      </c>
      <c r="H21" s="5">
        <f t="shared" si="23"/>
        <v>9.6756090393464271E-3</v>
      </c>
      <c r="I21" s="5">
        <f t="shared" si="23"/>
        <v>1.3683377527663432E-2</v>
      </c>
      <c r="J21" s="5">
        <f t="shared" si="23"/>
        <v>1.9351218078692854E-2</v>
      </c>
      <c r="K21" s="5">
        <f t="shared" si="23"/>
        <v>2.7366755055326864E-2</v>
      </c>
      <c r="L21" s="5">
        <f t="shared" si="23"/>
        <v>3.8702436157385708E-2</v>
      </c>
      <c r="M21" s="5">
        <f t="shared" si="23"/>
        <v>5.4733510110653728E-2</v>
      </c>
      <c r="N21" s="5">
        <f t="shared" si="23"/>
        <v>7.7404872314771417E-2</v>
      </c>
      <c r="O21" s="5">
        <f t="shared" si="23"/>
        <v>0.10946702022130746</v>
      </c>
      <c r="P21" s="5">
        <f t="shared" si="23"/>
        <v>0.15480974462954283</v>
      </c>
      <c r="Q21" s="5">
        <f t="shared" si="23"/>
        <v>0.21893404044261491</v>
      </c>
    </row>
    <row r="22" spans="1:17">
      <c r="A22" s="1" t="s">
        <v>11</v>
      </c>
      <c r="D22" t="s">
        <v>61</v>
      </c>
      <c r="E22" s="4"/>
      <c r="F22" s="3"/>
      <c r="G22" s="3"/>
      <c r="H22" s="3"/>
      <c r="I22" s="3"/>
      <c r="J22" s="3"/>
    </row>
    <row r="23" spans="1:17">
      <c r="A23" t="s">
        <v>18</v>
      </c>
      <c r="B23" s="2">
        <v>2.3800000000000001E-6</v>
      </c>
      <c r="C23" s="2"/>
      <c r="D23" t="s">
        <v>67</v>
      </c>
      <c r="E23" s="4">
        <f>(((B5*B35)*(B52*B39)^2)/B42) * B11 * B46 * B43 * B48</f>
        <v>337.81879021404137</v>
      </c>
    </row>
    <row r="24" spans="1:17">
      <c r="A24" t="s">
        <v>19</v>
      </c>
      <c r="B24" s="2">
        <v>2.4900000000000002E-7</v>
      </c>
      <c r="C24" s="2"/>
    </row>
    <row r="28" spans="1:17">
      <c r="A28" s="11" t="s">
        <v>56</v>
      </c>
      <c r="B28" s="11"/>
    </row>
    <row r="29" spans="1:17">
      <c r="A29" s="1" t="s">
        <v>31</v>
      </c>
    </row>
    <row r="30" spans="1:17">
      <c r="A30" t="s">
        <v>12</v>
      </c>
      <c r="B30">
        <v>206265</v>
      </c>
    </row>
    <row r="31" spans="1:17">
      <c r="A31" t="s">
        <v>21</v>
      </c>
      <c r="B31">
        <f>1/B30</f>
        <v>4.8481322570479724E-6</v>
      </c>
    </row>
    <row r="32" spans="1:17">
      <c r="A32" s="1" t="s">
        <v>32</v>
      </c>
    </row>
    <row r="33" spans="1:5">
      <c r="A33" t="s">
        <v>23</v>
      </c>
      <c r="B33" s="2">
        <v>6.6259999999999998E-34</v>
      </c>
      <c r="C33" t="s">
        <v>22</v>
      </c>
    </row>
    <row r="34" spans="1:5">
      <c r="A34" t="s">
        <v>24</v>
      </c>
      <c r="B34" s="2">
        <v>300000000</v>
      </c>
      <c r="C34" t="s">
        <v>27</v>
      </c>
    </row>
    <row r="35" spans="1:5">
      <c r="A35" t="s">
        <v>25</v>
      </c>
      <c r="B35" s="2">
        <v>1E-26</v>
      </c>
      <c r="C35" t="s">
        <v>28</v>
      </c>
    </row>
    <row r="36" spans="1:5">
      <c r="A36" t="s">
        <v>34</v>
      </c>
      <c r="B36" s="2">
        <f>3631*B35</f>
        <v>3.6310000000000001E-23</v>
      </c>
      <c r="C36" t="s">
        <v>26</v>
      </c>
    </row>
    <row r="37" spans="1:5">
      <c r="A37" s="1" t="s">
        <v>1</v>
      </c>
    </row>
    <row r="38" spans="1:5">
      <c r="A38" t="s">
        <v>29</v>
      </c>
      <c r="B38" s="2">
        <f>B9/B6</f>
        <v>3.4285714285714284E-5</v>
      </c>
    </row>
    <row r="39" spans="1:5">
      <c r="A39" t="s">
        <v>30</v>
      </c>
      <c r="B39" s="2">
        <f>B38*B30</f>
        <v>7.0719428571428571</v>
      </c>
    </row>
    <row r="40" spans="1:5">
      <c r="A40" s="1" t="s">
        <v>33</v>
      </c>
    </row>
    <row r="41" spans="1:5">
      <c r="A41" t="s">
        <v>36</v>
      </c>
      <c r="B41" s="2">
        <f>B34/B23</f>
        <v>126050420168067.22</v>
      </c>
      <c r="C41" t="s">
        <v>35</v>
      </c>
    </row>
    <row r="42" spans="1:5">
      <c r="A42" t="s">
        <v>37</v>
      </c>
      <c r="B42" s="2">
        <f>B33*B41</f>
        <v>8.3521008403361335E-20</v>
      </c>
      <c r="C42" t="s">
        <v>38</v>
      </c>
    </row>
    <row r="43" spans="1:5">
      <c r="A43" t="s">
        <v>40</v>
      </c>
      <c r="B43" s="2">
        <f>B34 * ((B23-B24/2)^(-1) - (B23+B24/2)^(-1))</f>
        <v>13223814071049.832</v>
      </c>
      <c r="C43" t="s">
        <v>39</v>
      </c>
    </row>
    <row r="44" spans="1:5">
      <c r="A44" s="1" t="s">
        <v>43</v>
      </c>
    </row>
    <row r="45" spans="1:5">
      <c r="A45" t="s">
        <v>52</v>
      </c>
      <c r="B45" s="2">
        <v>8.0000000000000002E-3</v>
      </c>
      <c r="C45" t="s">
        <v>45</v>
      </c>
      <c r="D45" t="s">
        <v>66</v>
      </c>
      <c r="E45" s="2"/>
    </row>
    <row r="46" spans="1:5">
      <c r="A46" t="s">
        <v>53</v>
      </c>
      <c r="B46" s="2">
        <f>(PI()*B12^2)/4 - B45</f>
        <v>4.5092915845667512E-2</v>
      </c>
      <c r="C46" t="s">
        <v>44</v>
      </c>
    </row>
    <row r="47" spans="1:5">
      <c r="A47" t="s">
        <v>41</v>
      </c>
      <c r="B47">
        <f>((1-B17)^B18)*((1-B19)^B20)</f>
        <v>0.94094352059999997</v>
      </c>
    </row>
    <row r="48" spans="1:5">
      <c r="A48" t="s">
        <v>42</v>
      </c>
      <c r="B48">
        <f>B15*B16*B47</f>
        <v>0.87601841767859989</v>
      </c>
      <c r="C48" t="s">
        <v>46</v>
      </c>
    </row>
    <row r="51" spans="1:3">
      <c r="A51" s="1" t="s">
        <v>49</v>
      </c>
      <c r="B51" s="1"/>
    </row>
    <row r="52" spans="1:3">
      <c r="A52" t="s">
        <v>48</v>
      </c>
      <c r="B52">
        <v>1</v>
      </c>
      <c r="C52" t="s">
        <v>54</v>
      </c>
    </row>
    <row r="54" spans="1:3">
      <c r="A54" s="1"/>
    </row>
    <row r="58" spans="1:3">
      <c r="A58" s="1"/>
    </row>
  </sheetData>
  <mergeCells count="3">
    <mergeCell ref="A2:B2"/>
    <mergeCell ref="A28:B28"/>
    <mergeCell ref="F6:Q6"/>
  </mergeCells>
  <conditionalFormatting sqref="E3">
    <cfRule type="cellIs" dxfId="5" priority="19" operator="greaterThan">
      <formula>$E$3</formula>
    </cfRule>
  </conditionalFormatting>
  <conditionalFormatting sqref="F6:Q21">
    <cfRule type="cellIs" dxfId="4" priority="17" operator="lessThan">
      <formula>$E$3</formula>
    </cfRule>
  </conditionalFormatting>
  <conditionalFormatting sqref="F7:Q21 F23">
    <cfRule type="cellIs" dxfId="3" priority="21" operator="greaterThan">
      <formula>$E$3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C085-F865-5343-9D72-2D200448657F}">
  <dimension ref="A1:R58"/>
  <sheetViews>
    <sheetView workbookViewId="0">
      <selection activeCell="B9" sqref="B9"/>
    </sheetView>
  </sheetViews>
  <sheetFormatPr baseColWidth="10" defaultRowHeight="16"/>
  <cols>
    <col min="1" max="1" width="26.5" customWidth="1"/>
    <col min="2" max="2" width="12.1640625" bestFit="1" customWidth="1"/>
    <col min="3" max="3" width="28" customWidth="1"/>
    <col min="4" max="4" width="18.5" customWidth="1"/>
    <col min="5" max="5" width="17.83203125" customWidth="1"/>
  </cols>
  <sheetData>
    <row r="1" spans="1:18">
      <c r="A1" t="s">
        <v>65</v>
      </c>
    </row>
    <row r="2" spans="1:18">
      <c r="A2" s="11" t="s">
        <v>47</v>
      </c>
      <c r="B2" s="11"/>
      <c r="D2" t="s">
        <v>62</v>
      </c>
    </row>
    <row r="3" spans="1:18">
      <c r="A3" s="1" t="s">
        <v>3</v>
      </c>
      <c r="D3" t="s">
        <v>60</v>
      </c>
      <c r="E3" s="4">
        <v>5</v>
      </c>
    </row>
    <row r="4" spans="1:18">
      <c r="A4" t="s">
        <v>59</v>
      </c>
      <c r="B4">
        <v>2</v>
      </c>
      <c r="F4">
        <v>2</v>
      </c>
      <c r="G4">
        <f>F4*2</f>
        <v>4</v>
      </c>
      <c r="H4">
        <f t="shared" ref="H4:Q4" si="0">G4*2</f>
        <v>8</v>
      </c>
      <c r="I4">
        <f t="shared" si="0"/>
        <v>16</v>
      </c>
      <c r="J4">
        <f t="shared" si="0"/>
        <v>32</v>
      </c>
      <c r="K4">
        <f t="shared" si="0"/>
        <v>64</v>
      </c>
      <c r="L4">
        <f t="shared" si="0"/>
        <v>128</v>
      </c>
      <c r="M4">
        <f t="shared" si="0"/>
        <v>256</v>
      </c>
      <c r="N4">
        <f t="shared" si="0"/>
        <v>512</v>
      </c>
      <c r="O4">
        <f t="shared" si="0"/>
        <v>1024</v>
      </c>
      <c r="P4">
        <f t="shared" si="0"/>
        <v>2048</v>
      </c>
      <c r="Q4">
        <f t="shared" si="0"/>
        <v>4096</v>
      </c>
      <c r="R4" t="s">
        <v>55</v>
      </c>
    </row>
    <row r="5" spans="1:18">
      <c r="A5" t="s">
        <v>13</v>
      </c>
      <c r="B5" s="2">
        <v>1.2E-4</v>
      </c>
      <c r="F5" s="7">
        <f>F4*$B$4</f>
        <v>4</v>
      </c>
      <c r="G5" s="7">
        <f t="shared" ref="G5:Q5" si="1">G4*$B$4</f>
        <v>8</v>
      </c>
      <c r="H5" s="7">
        <f t="shared" si="1"/>
        <v>16</v>
      </c>
      <c r="I5" s="7">
        <f t="shared" si="1"/>
        <v>32</v>
      </c>
      <c r="J5" s="7">
        <f t="shared" si="1"/>
        <v>64</v>
      </c>
      <c r="K5" s="7">
        <f t="shared" si="1"/>
        <v>128</v>
      </c>
      <c r="L5" s="7">
        <f t="shared" si="1"/>
        <v>256</v>
      </c>
      <c r="M5" s="7">
        <f t="shared" si="1"/>
        <v>512</v>
      </c>
      <c r="N5" s="7">
        <f t="shared" si="1"/>
        <v>1024</v>
      </c>
      <c r="O5" s="7">
        <f t="shared" si="1"/>
        <v>2048</v>
      </c>
      <c r="P5" s="7">
        <f t="shared" si="1"/>
        <v>4096</v>
      </c>
      <c r="Q5" s="7">
        <f t="shared" si="1"/>
        <v>8192</v>
      </c>
      <c r="R5" s="1" t="s">
        <v>57</v>
      </c>
    </row>
    <row r="6" spans="1:18">
      <c r="A6" s="8" t="s">
        <v>14</v>
      </c>
      <c r="B6" s="8">
        <v>2</v>
      </c>
      <c r="D6" s="1" t="s">
        <v>51</v>
      </c>
      <c r="E6" s="1" t="s">
        <v>50</v>
      </c>
      <c r="F6" s="12" t="s">
        <v>58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8">
      <c r="A7" t="s">
        <v>15</v>
      </c>
      <c r="B7">
        <v>15</v>
      </c>
      <c r="D7" s="1">
        <v>10</v>
      </c>
      <c r="E7" s="6">
        <f>(($B$36*10^(-0.4*D7))/$B$42) * $B$11 * $B$46 * $B$43 * $B$48</f>
        <v>233454.71420707193</v>
      </c>
      <c r="F7" s="5">
        <f t="shared" ref="F7:Q7" si="2">($E$7*F$5)/SQRT($E$7*F$5 + $E$23*F$5 + ($B$52*(F$4*($B$7^2)+($B$8*F$5))))</f>
        <v>965.94039802642112</v>
      </c>
      <c r="G7" s="5">
        <f t="shared" si="2"/>
        <v>1366.0460113330303</v>
      </c>
      <c r="H7" s="5">
        <f t="shared" si="2"/>
        <v>1931.8807960528422</v>
      </c>
      <c r="I7" s="5">
        <f t="shared" si="2"/>
        <v>2732.0920226660605</v>
      </c>
      <c r="J7" s="5">
        <f t="shared" si="2"/>
        <v>3863.7615921056845</v>
      </c>
      <c r="K7" s="5">
        <f t="shared" si="2"/>
        <v>5464.1840453321211</v>
      </c>
      <c r="L7" s="5">
        <f t="shared" si="2"/>
        <v>7727.523184211369</v>
      </c>
      <c r="M7" s="5">
        <f t="shared" si="2"/>
        <v>10928.368090664242</v>
      </c>
      <c r="N7" s="5">
        <f t="shared" si="2"/>
        <v>15455.046368422738</v>
      </c>
      <c r="O7" s="5">
        <f t="shared" si="2"/>
        <v>21856.736181328484</v>
      </c>
      <c r="P7" s="5">
        <f t="shared" si="2"/>
        <v>30910.092736845476</v>
      </c>
      <c r="Q7" s="5">
        <f t="shared" si="2"/>
        <v>43713.472362656968</v>
      </c>
    </row>
    <row r="8" spans="1:18">
      <c r="A8" t="s">
        <v>16</v>
      </c>
      <c r="B8">
        <v>0.1</v>
      </c>
      <c r="D8" s="1">
        <v>11</v>
      </c>
      <c r="E8" s="6">
        <f t="shared" ref="E8:E21" si="3">(($B$36*10^(-0.4*D8))/$B$42) * $B$11 * $B$46 * $B$43 * $B$48</f>
        <v>92939.995725352535</v>
      </c>
      <c r="F8" s="5">
        <f t="shared" ref="F8:Q8" si="4">($E$8*F$5)/SQRT($E$8*F$5 + $E$23*F$5 + ($B$52*(F$4*($B$7^2)+($B$8*F$5))))</f>
        <v>609.08370308780468</v>
      </c>
      <c r="G8" s="5">
        <f t="shared" si="4"/>
        <v>861.37443352720084</v>
      </c>
      <c r="H8" s="5">
        <f t="shared" si="4"/>
        <v>1218.1674061756094</v>
      </c>
      <c r="I8" s="5">
        <f t="shared" si="4"/>
        <v>1722.7488670544017</v>
      </c>
      <c r="J8" s="5">
        <f t="shared" si="4"/>
        <v>2436.3348123512187</v>
      </c>
      <c r="K8" s="5">
        <f t="shared" si="4"/>
        <v>3445.4977341088033</v>
      </c>
      <c r="L8" s="5">
        <f t="shared" si="4"/>
        <v>4872.6696247024374</v>
      </c>
      <c r="M8" s="5">
        <f t="shared" si="4"/>
        <v>6890.9954682176067</v>
      </c>
      <c r="N8" s="5">
        <f t="shared" si="4"/>
        <v>9745.3392494048749</v>
      </c>
      <c r="O8" s="5">
        <f t="shared" si="4"/>
        <v>13781.990936435213</v>
      </c>
      <c r="P8" s="5">
        <f t="shared" si="4"/>
        <v>19490.67849880975</v>
      </c>
      <c r="Q8" s="5">
        <f t="shared" si="4"/>
        <v>27563.981872870427</v>
      </c>
    </row>
    <row r="9" spans="1:18">
      <c r="A9" s="8" t="s">
        <v>17</v>
      </c>
      <c r="B9" s="9">
        <v>1.0000000000000001E-5</v>
      </c>
      <c r="D9" s="1">
        <v>12</v>
      </c>
      <c r="E9" s="6">
        <f t="shared" si="3"/>
        <v>37000.078729474226</v>
      </c>
      <c r="F9" s="5">
        <f t="shared" ref="F9:Q9" si="5">($E$9*F$5)/SQRT($E$9*F$5 + $E$23*F$5 + ($B$52*(F$4*($B$7^2)+($B$8*F$5))))</f>
        <v>383.70006134521583</v>
      </c>
      <c r="G9" s="5">
        <f t="shared" si="5"/>
        <v>542.6338306377927</v>
      </c>
      <c r="H9" s="5">
        <f t="shared" si="5"/>
        <v>767.40012269043166</v>
      </c>
      <c r="I9" s="5">
        <f t="shared" si="5"/>
        <v>1085.2676612755854</v>
      </c>
      <c r="J9" s="5">
        <f t="shared" si="5"/>
        <v>1534.8002453808633</v>
      </c>
      <c r="K9" s="5">
        <f t="shared" si="5"/>
        <v>2170.5353225511708</v>
      </c>
      <c r="L9" s="5">
        <f t="shared" si="5"/>
        <v>3069.6004907617266</v>
      </c>
      <c r="M9" s="5">
        <f t="shared" si="5"/>
        <v>4341.0706451023416</v>
      </c>
      <c r="N9" s="5">
        <f t="shared" si="5"/>
        <v>6139.2009815234533</v>
      </c>
      <c r="O9" s="5">
        <f t="shared" si="5"/>
        <v>8682.1412902046832</v>
      </c>
      <c r="P9" s="5">
        <f t="shared" si="5"/>
        <v>12278.401963046907</v>
      </c>
      <c r="Q9" s="5">
        <f t="shared" si="5"/>
        <v>17364.282580409366</v>
      </c>
    </row>
    <row r="10" spans="1:18">
      <c r="A10" s="8" t="s">
        <v>0</v>
      </c>
      <c r="B10" s="10">
        <v>24576</v>
      </c>
      <c r="D10" s="1">
        <v>13</v>
      </c>
      <c r="E10" s="6">
        <f t="shared" si="3"/>
        <v>14729.996653247628</v>
      </c>
      <c r="F10" s="5">
        <f t="shared" ref="F10:Q10" si="6">($E$10*F$5)/SQRT($E$10*F$5 + $E$23*F$5 + ($B$52*(F$4*($B$7^2)+($B$8*F$5))))</f>
        <v>241.14619966773898</v>
      </c>
      <c r="G10" s="5">
        <f t="shared" si="6"/>
        <v>341.0322260848468</v>
      </c>
      <c r="H10" s="5">
        <f t="shared" si="6"/>
        <v>482.29239933547797</v>
      </c>
      <c r="I10" s="5">
        <f t="shared" si="6"/>
        <v>682.0644521696936</v>
      </c>
      <c r="J10" s="5">
        <f t="shared" si="6"/>
        <v>964.58479867095593</v>
      </c>
      <c r="K10" s="5">
        <f t="shared" si="6"/>
        <v>1364.1289043393872</v>
      </c>
      <c r="L10" s="5">
        <f t="shared" si="6"/>
        <v>1929.1695973419119</v>
      </c>
      <c r="M10" s="5">
        <f t="shared" si="6"/>
        <v>2728.2578086787744</v>
      </c>
      <c r="N10" s="5">
        <f t="shared" si="6"/>
        <v>3858.3391946838237</v>
      </c>
      <c r="O10" s="5">
        <f t="shared" si="6"/>
        <v>5456.5156173575488</v>
      </c>
      <c r="P10" s="5">
        <f t="shared" si="6"/>
        <v>7716.6783893676475</v>
      </c>
      <c r="Q10" s="5">
        <f t="shared" si="6"/>
        <v>10913.031234715098</v>
      </c>
    </row>
    <row r="11" spans="1:18">
      <c r="A11" t="s">
        <v>2</v>
      </c>
      <c r="B11">
        <v>0.9</v>
      </c>
      <c r="D11" s="1">
        <v>14</v>
      </c>
      <c r="E11" s="6">
        <f t="shared" si="3"/>
        <v>5864.1172898868999</v>
      </c>
      <c r="F11" s="5">
        <f t="shared" ref="F11:Q11" si="7">($E$11*F$5)/SQRT($E$11*F$5 + $E$23*F$5 + ($B$52*(F$4*($B$7^2)+($B$8*F$5))))</f>
        <v>150.67459498446485</v>
      </c>
      <c r="G11" s="5">
        <f t="shared" si="7"/>
        <v>213.08605573210329</v>
      </c>
      <c r="H11" s="5">
        <f t="shared" si="7"/>
        <v>301.34918996892969</v>
      </c>
      <c r="I11" s="5">
        <f t="shared" si="7"/>
        <v>426.17211146420658</v>
      </c>
      <c r="J11" s="5">
        <f t="shared" si="7"/>
        <v>602.69837993785939</v>
      </c>
      <c r="K11" s="5">
        <f t="shared" si="7"/>
        <v>852.34422292841316</v>
      </c>
      <c r="L11" s="5">
        <f t="shared" si="7"/>
        <v>1205.3967598757188</v>
      </c>
      <c r="M11" s="5">
        <f t="shared" si="7"/>
        <v>1704.6884458568263</v>
      </c>
      <c r="N11" s="5">
        <f t="shared" si="7"/>
        <v>2410.7935197514375</v>
      </c>
      <c r="O11" s="5">
        <f t="shared" si="7"/>
        <v>3409.3768917136526</v>
      </c>
      <c r="P11" s="5">
        <f t="shared" si="7"/>
        <v>4821.5870395028751</v>
      </c>
      <c r="Q11" s="5">
        <f t="shared" si="7"/>
        <v>6818.7537834273053</v>
      </c>
    </row>
    <row r="12" spans="1:18">
      <c r="A12" s="8" t="s">
        <v>20</v>
      </c>
      <c r="B12" s="8">
        <v>1</v>
      </c>
      <c r="D12" s="1">
        <v>15</v>
      </c>
      <c r="E12" s="6">
        <f t="shared" si="3"/>
        <v>2334.547142070719</v>
      </c>
      <c r="F12" s="5">
        <f t="shared" ref="F12:Q12" si="8">($E$12*F$5)/SQRT($E$12*F$5 + $E$23*F$5 + ($B$52*(F$4*($B$7^2)+($B$8*F$5))))</f>
        <v>92.841075893644742</v>
      </c>
      <c r="G12" s="5">
        <f t="shared" si="8"/>
        <v>131.29710867410222</v>
      </c>
      <c r="H12" s="5">
        <f t="shared" si="8"/>
        <v>185.68215178728948</v>
      </c>
      <c r="I12" s="5">
        <f t="shared" si="8"/>
        <v>262.59421734820444</v>
      </c>
      <c r="J12" s="5">
        <f t="shared" si="8"/>
        <v>371.36430357457897</v>
      </c>
      <c r="K12" s="5">
        <f t="shared" si="8"/>
        <v>525.18843469640888</v>
      </c>
      <c r="L12" s="5">
        <f t="shared" si="8"/>
        <v>742.72860714915794</v>
      </c>
      <c r="M12" s="5">
        <f t="shared" si="8"/>
        <v>1050.3768693928178</v>
      </c>
      <c r="N12" s="5">
        <f t="shared" si="8"/>
        <v>1485.4572142983159</v>
      </c>
      <c r="O12" s="5">
        <f t="shared" si="8"/>
        <v>2100.7537387856355</v>
      </c>
      <c r="P12" s="5">
        <f t="shared" si="8"/>
        <v>2970.9144285966318</v>
      </c>
      <c r="Q12" s="5">
        <f t="shared" si="8"/>
        <v>4201.507477571271</v>
      </c>
    </row>
    <row r="13" spans="1:18">
      <c r="D13" s="1">
        <v>16</v>
      </c>
      <c r="E13" s="6">
        <f t="shared" si="3"/>
        <v>929.39995725352492</v>
      </c>
      <c r="F13" s="5">
        <f t="shared" ref="F13:Q13" si="9">($E$13*F$5)/SQRT($E$13*F$5 + $E$23*F$5 + ($B$52*(F$4*($B$7^2)+($B$8*F$5))))</f>
        <v>55.441794223068193</v>
      </c>
      <c r="G13" s="5">
        <f t="shared" si="9"/>
        <v>78.406537312561355</v>
      </c>
      <c r="H13" s="5">
        <f t="shared" si="9"/>
        <v>110.88358844613639</v>
      </c>
      <c r="I13" s="5">
        <f t="shared" si="9"/>
        <v>156.81307462512271</v>
      </c>
      <c r="J13" s="5">
        <f t="shared" si="9"/>
        <v>221.76717689227277</v>
      </c>
      <c r="K13" s="5">
        <f t="shared" si="9"/>
        <v>313.62614925024542</v>
      </c>
      <c r="L13" s="5">
        <f t="shared" si="9"/>
        <v>443.53435378454554</v>
      </c>
      <c r="M13" s="5">
        <f t="shared" si="9"/>
        <v>627.25229850049084</v>
      </c>
      <c r="N13" s="5">
        <f t="shared" si="9"/>
        <v>887.06870756909109</v>
      </c>
      <c r="O13" s="5">
        <f t="shared" si="9"/>
        <v>1254.5045970009817</v>
      </c>
      <c r="P13" s="5">
        <f t="shared" si="9"/>
        <v>1774.1374151381822</v>
      </c>
      <c r="Q13" s="5">
        <f t="shared" si="9"/>
        <v>2509.0091940019634</v>
      </c>
    </row>
    <row r="14" spans="1:18">
      <c r="A14" s="1" t="s">
        <v>4</v>
      </c>
      <c r="D14" s="1">
        <v>17</v>
      </c>
      <c r="E14" s="6">
        <f t="shared" si="3"/>
        <v>370.00078729474217</v>
      </c>
      <c r="F14" s="5">
        <f t="shared" ref="F14:Q14" si="10">($E$14*F$5)/SQRT($E$14*F$5 + $E$23*F$5 + ($B$52*(F$4*($B$7^2)+($B$8*F$5))))</f>
        <v>31.141360182693607</v>
      </c>
      <c r="G14" s="5">
        <f t="shared" si="10"/>
        <v>44.040533921110786</v>
      </c>
      <c r="H14" s="5">
        <f t="shared" si="10"/>
        <v>62.282720365387213</v>
      </c>
      <c r="I14" s="5">
        <f t="shared" si="10"/>
        <v>88.081067842221572</v>
      </c>
      <c r="J14" s="5">
        <f t="shared" si="10"/>
        <v>124.56544073077443</v>
      </c>
      <c r="K14" s="5">
        <f t="shared" si="10"/>
        <v>176.16213568444314</v>
      </c>
      <c r="L14" s="5">
        <f t="shared" si="10"/>
        <v>249.13088146154885</v>
      </c>
      <c r="M14" s="5">
        <f t="shared" si="10"/>
        <v>352.32427136888629</v>
      </c>
      <c r="N14" s="5">
        <f t="shared" si="10"/>
        <v>498.26176292309771</v>
      </c>
      <c r="O14" s="5">
        <f t="shared" si="10"/>
        <v>704.64854273777257</v>
      </c>
      <c r="P14" s="5">
        <f t="shared" si="10"/>
        <v>996.52352584619541</v>
      </c>
      <c r="Q14" s="5">
        <f t="shared" si="10"/>
        <v>1409.2970854755451</v>
      </c>
    </row>
    <row r="15" spans="1:18">
      <c r="A15" t="s">
        <v>5</v>
      </c>
      <c r="B15">
        <v>0.95</v>
      </c>
      <c r="D15" s="1">
        <v>18</v>
      </c>
      <c r="E15" s="6">
        <f t="shared" si="3"/>
        <v>147.29996653247619</v>
      </c>
      <c r="F15" s="5">
        <f t="shared" ref="F15:Q15" si="11">($E$15*F$5)/SQRT($E$15*F$5 + $E$23*F$5 + ($B$52*(F$4*($B$7^2)+($B$8*F$5))))</f>
        <v>15.930996575824832</v>
      </c>
      <c r="G15" s="5">
        <f t="shared" si="11"/>
        <v>22.529831419650815</v>
      </c>
      <c r="H15" s="5">
        <f t="shared" si="11"/>
        <v>31.861993151649664</v>
      </c>
      <c r="I15" s="5">
        <f t="shared" si="11"/>
        <v>45.05966283930163</v>
      </c>
      <c r="J15" s="5">
        <f t="shared" si="11"/>
        <v>63.723986303299327</v>
      </c>
      <c r="K15" s="5">
        <f t="shared" si="11"/>
        <v>90.119325678603261</v>
      </c>
      <c r="L15" s="5">
        <f t="shared" si="11"/>
        <v>127.44797260659865</v>
      </c>
      <c r="M15" s="5">
        <f t="shared" si="11"/>
        <v>180.23865135720652</v>
      </c>
      <c r="N15" s="5">
        <f t="shared" si="11"/>
        <v>254.89594521319731</v>
      </c>
      <c r="O15" s="5">
        <f t="shared" si="11"/>
        <v>360.47730271441304</v>
      </c>
      <c r="P15" s="5">
        <f t="shared" si="11"/>
        <v>509.79189042639462</v>
      </c>
      <c r="Q15" s="5">
        <f t="shared" si="11"/>
        <v>720.95460542882608</v>
      </c>
    </row>
    <row r="16" spans="1:18">
      <c r="A16" t="s">
        <v>6</v>
      </c>
      <c r="B16">
        <v>0.98</v>
      </c>
      <c r="D16" s="1">
        <v>19</v>
      </c>
      <c r="E16" s="6">
        <f t="shared" si="3"/>
        <v>58.641172898868973</v>
      </c>
      <c r="F16" s="5">
        <f t="shared" ref="F16:Q16" si="12">($E$16*F$5)/SQRT($E$16*F$5 + $E$23*F$5 + ($B$52*(F$4*($B$7^2)+($B$8*F$5))))</f>
        <v>7.3690457619482119</v>
      </c>
      <c r="G16" s="5">
        <f t="shared" si="12"/>
        <v>10.42140445829514</v>
      </c>
      <c r="H16" s="5">
        <f t="shared" si="12"/>
        <v>14.738091523896424</v>
      </c>
      <c r="I16" s="5">
        <f t="shared" si="12"/>
        <v>20.842808916590279</v>
      </c>
      <c r="J16" s="5">
        <f t="shared" si="12"/>
        <v>29.476183047792848</v>
      </c>
      <c r="K16" s="5">
        <f t="shared" si="12"/>
        <v>41.685617833180558</v>
      </c>
      <c r="L16" s="5">
        <f t="shared" si="12"/>
        <v>58.952366095585695</v>
      </c>
      <c r="M16" s="5">
        <f t="shared" si="12"/>
        <v>83.371235666361116</v>
      </c>
      <c r="N16" s="5">
        <f t="shared" si="12"/>
        <v>117.90473219117139</v>
      </c>
      <c r="O16" s="5">
        <f t="shared" si="12"/>
        <v>166.74247133272223</v>
      </c>
      <c r="P16" s="5">
        <f t="shared" si="12"/>
        <v>235.80946438234278</v>
      </c>
      <c r="Q16" s="5">
        <f t="shared" si="12"/>
        <v>333.48494266544446</v>
      </c>
    </row>
    <row r="17" spans="1:17">
      <c r="A17" t="s">
        <v>7</v>
      </c>
      <c r="B17">
        <v>5.0000000000000001E-3</v>
      </c>
      <c r="D17" s="1">
        <v>20</v>
      </c>
      <c r="E17" s="6">
        <f t="shared" si="3"/>
        <v>23.345471420707195</v>
      </c>
      <c r="F17" s="5">
        <f t="shared" ref="F17:Q17" si="13">($E$17*F$5)/SQRT($E$17*F$5 + $E$23*F$5 + ($B$52*(F$4*($B$7^2)+($B$8*F$5))))</f>
        <v>3.1622463899351909</v>
      </c>
      <c r="G17" s="5">
        <f t="shared" si="13"/>
        <v>4.4720917322117053</v>
      </c>
      <c r="H17" s="5">
        <f t="shared" si="13"/>
        <v>6.3244927798703818</v>
      </c>
      <c r="I17" s="5">
        <f t="shared" si="13"/>
        <v>8.9441834644234106</v>
      </c>
      <c r="J17" s="5">
        <f t="shared" si="13"/>
        <v>12.648985559740764</v>
      </c>
      <c r="K17" s="5">
        <f t="shared" si="13"/>
        <v>17.888366928846821</v>
      </c>
      <c r="L17" s="5">
        <f t="shared" si="13"/>
        <v>25.297971119481527</v>
      </c>
      <c r="M17" s="5">
        <f t="shared" si="13"/>
        <v>35.776733857693642</v>
      </c>
      <c r="N17" s="5">
        <f t="shared" si="13"/>
        <v>50.595942238963055</v>
      </c>
      <c r="O17" s="5">
        <f t="shared" si="13"/>
        <v>71.553467715387285</v>
      </c>
      <c r="P17" s="5">
        <f t="shared" si="13"/>
        <v>101.19188447792611</v>
      </c>
      <c r="Q17" s="5">
        <f t="shared" si="13"/>
        <v>143.10693543077457</v>
      </c>
    </row>
    <row r="18" spans="1:17">
      <c r="A18" t="s">
        <v>8</v>
      </c>
      <c r="B18">
        <v>4</v>
      </c>
      <c r="D18" s="1">
        <v>21</v>
      </c>
      <c r="E18" s="6">
        <f t="shared" si="3"/>
        <v>9.2939995725352613</v>
      </c>
      <c r="F18" s="5">
        <f>($E$18*F$5)/SQRT($E$18*F$5 + $E$23*F$5 + ($B$52*(F$4*($B$7^2)+($B$8*F$5))))</f>
        <v>1.3015566208380018</v>
      </c>
      <c r="G18" s="5">
        <f t="shared" ref="G18:Q18" si="14">($E$18*G$5)/SQRT($E$18*G$5 + $E$23*G$5 + ($B$52*(G$4*($B$7^2)+($B$8*G$5))))</f>
        <v>1.8406790253855982</v>
      </c>
      <c r="H18" s="5">
        <f t="shared" si="14"/>
        <v>2.6031132416760037</v>
      </c>
      <c r="I18" s="5">
        <f t="shared" si="14"/>
        <v>3.6813580507711965</v>
      </c>
      <c r="J18" s="5">
        <f t="shared" si="14"/>
        <v>5.2062264833520073</v>
      </c>
      <c r="K18" s="5">
        <f t="shared" si="14"/>
        <v>7.362716101542393</v>
      </c>
      <c r="L18" s="5">
        <f t="shared" si="14"/>
        <v>10.412452966704015</v>
      </c>
      <c r="M18" s="5">
        <f t="shared" si="14"/>
        <v>14.725432203084786</v>
      </c>
      <c r="N18" s="5">
        <f t="shared" si="14"/>
        <v>20.824905933408029</v>
      </c>
      <c r="O18" s="5">
        <f t="shared" si="14"/>
        <v>29.450864406169572</v>
      </c>
      <c r="P18" s="5">
        <f t="shared" si="14"/>
        <v>41.649811866816059</v>
      </c>
      <c r="Q18" s="5">
        <f t="shared" si="14"/>
        <v>58.901728812339144</v>
      </c>
    </row>
    <row r="19" spans="1:17">
      <c r="A19" t="s">
        <v>9</v>
      </c>
      <c r="B19">
        <v>0.04</v>
      </c>
      <c r="D19" s="1">
        <v>22</v>
      </c>
      <c r="E19" s="6">
        <f t="shared" si="3"/>
        <v>3.7000078729474137</v>
      </c>
      <c r="F19" s="5">
        <f>($E$19*F$5)/SQRT($E$19*F$5 + $E$23*F$5 + ($B$52*(F$4*($B$7^2)+($B$8*F$5))))</f>
        <v>0.52541446222401889</v>
      </c>
      <c r="G19" s="5">
        <f t="shared" ref="G19:Q19" si="15">($E$19*G$5)/SQRT($E$19*G$5 + $E$23*G$5 + ($B$52*(G$4*($B$7^2)+($B$8*G$5))))</f>
        <v>0.74304825834417387</v>
      </c>
      <c r="H19" s="5">
        <f t="shared" si="15"/>
        <v>1.0508289244480378</v>
      </c>
      <c r="I19" s="5">
        <f t="shared" si="15"/>
        <v>1.4860965166883477</v>
      </c>
      <c r="J19" s="5">
        <f t="shared" si="15"/>
        <v>2.1016578488960755</v>
      </c>
      <c r="K19" s="5">
        <f t="shared" si="15"/>
        <v>2.9721930333766955</v>
      </c>
      <c r="L19" s="5">
        <f t="shared" si="15"/>
        <v>4.2033156977921511</v>
      </c>
      <c r="M19" s="5">
        <f t="shared" si="15"/>
        <v>5.944386066753391</v>
      </c>
      <c r="N19" s="5">
        <f t="shared" si="15"/>
        <v>8.4066313955843022</v>
      </c>
      <c r="O19" s="5">
        <f t="shared" si="15"/>
        <v>11.888772133506782</v>
      </c>
      <c r="P19" s="5">
        <f t="shared" si="15"/>
        <v>16.813262791168604</v>
      </c>
      <c r="Q19" s="5">
        <f t="shared" si="15"/>
        <v>23.777544267013564</v>
      </c>
    </row>
    <row r="20" spans="1:17">
      <c r="A20" t="s">
        <v>10</v>
      </c>
      <c r="B20">
        <v>1</v>
      </c>
      <c r="D20" s="1">
        <v>23</v>
      </c>
      <c r="E20" s="6">
        <f t="shared" si="3"/>
        <v>1.4729996653247588</v>
      </c>
      <c r="F20" s="5">
        <f>($E$20*F$5)/SQRT($E$20*F$5 + $E$23*F$5 + ($B$52*(F$4*($B$7^2)+($B$8*F$5))))</f>
        <v>0.21035541949702655</v>
      </c>
      <c r="G20" s="5">
        <f t="shared" ref="G20:Q20" si="16">($E$20*G$5)/SQRT($E$20*G$5 + $E$23*G$5 + ($B$52*(G$4*($B$7^2)+($B$8*G$5))))</f>
        <v>0.29748748717137669</v>
      </c>
      <c r="H20" s="5">
        <f t="shared" si="16"/>
        <v>0.42071083899405309</v>
      </c>
      <c r="I20" s="5">
        <f t="shared" si="16"/>
        <v>0.59497497434275337</v>
      </c>
      <c r="J20" s="5">
        <f t="shared" si="16"/>
        <v>0.84142167798810619</v>
      </c>
      <c r="K20" s="5">
        <f t="shared" si="16"/>
        <v>1.1899499486855067</v>
      </c>
      <c r="L20" s="5">
        <f t="shared" si="16"/>
        <v>1.6828433559762124</v>
      </c>
      <c r="M20" s="5">
        <f t="shared" si="16"/>
        <v>2.3798998973710135</v>
      </c>
      <c r="N20" s="5">
        <f t="shared" si="16"/>
        <v>3.3656867119524247</v>
      </c>
      <c r="O20" s="5">
        <f t="shared" si="16"/>
        <v>4.759799794742027</v>
      </c>
      <c r="P20" s="5">
        <f t="shared" si="16"/>
        <v>6.7313734239048495</v>
      </c>
      <c r="Q20" s="5">
        <f t="shared" si="16"/>
        <v>9.5195995894840539</v>
      </c>
    </row>
    <row r="21" spans="1:17">
      <c r="D21" s="1">
        <v>24</v>
      </c>
      <c r="E21" s="6">
        <f t="shared" si="3"/>
        <v>0.58641172898868832</v>
      </c>
      <c r="F21" s="5">
        <f>($E$21*F$5)/SQRT($E$21*F$5 + $E$23*F$5 + ($B$52*(F$4*($B$7^2)+($B$8*F$5))))</f>
        <v>8.3933917522498638E-2</v>
      </c>
      <c r="G21" s="5">
        <f t="shared" ref="G21:Q21" si="17">($E$21*G$5)/SQRT($E$21*G$5 + $E$23*G$5 + ($B$52*(G$4*($B$7^2)+($B$8*G$5))))</f>
        <v>0.11870048450342233</v>
      </c>
      <c r="H21" s="5">
        <f t="shared" si="17"/>
        <v>0.16786783504499728</v>
      </c>
      <c r="I21" s="5">
        <f t="shared" si="17"/>
        <v>0.23740096900684465</v>
      </c>
      <c r="J21" s="5">
        <f t="shared" si="17"/>
        <v>0.33573567008999455</v>
      </c>
      <c r="K21" s="5">
        <f t="shared" si="17"/>
        <v>0.47480193801368931</v>
      </c>
      <c r="L21" s="5">
        <f t="shared" si="17"/>
        <v>0.67147134017998911</v>
      </c>
      <c r="M21" s="5">
        <f t="shared" si="17"/>
        <v>0.94960387602737861</v>
      </c>
      <c r="N21" s="5">
        <f t="shared" si="17"/>
        <v>1.3429426803599782</v>
      </c>
      <c r="O21" s="5">
        <f t="shared" si="17"/>
        <v>1.8992077520547572</v>
      </c>
      <c r="P21" s="5">
        <f t="shared" si="17"/>
        <v>2.6858853607199564</v>
      </c>
      <c r="Q21" s="5">
        <f t="shared" si="17"/>
        <v>3.7984155041095145</v>
      </c>
    </row>
    <row r="22" spans="1:17">
      <c r="A22" s="1" t="s">
        <v>11</v>
      </c>
      <c r="D22" t="s">
        <v>61</v>
      </c>
      <c r="E22" s="4"/>
      <c r="F22" s="3"/>
      <c r="G22" s="3"/>
      <c r="H22" s="3"/>
      <c r="I22" s="3"/>
      <c r="J22" s="3"/>
    </row>
    <row r="23" spans="1:17">
      <c r="A23" t="s">
        <v>18</v>
      </c>
      <c r="B23" s="2">
        <v>2.3800000000000001E-6</v>
      </c>
      <c r="C23" s="2"/>
      <c r="D23" t="s">
        <v>68</v>
      </c>
      <c r="E23" s="4">
        <f>(((B5*B35)*(B52*B39)^2)/B42) * B11 * B46 * B43 * B48</f>
        <v>82.063254465539018</v>
      </c>
    </row>
    <row r="24" spans="1:17">
      <c r="A24" t="s">
        <v>19</v>
      </c>
      <c r="B24" s="2">
        <v>2.4900000000000002E-7</v>
      </c>
      <c r="C24" s="2"/>
    </row>
    <row r="28" spans="1:17">
      <c r="A28" s="11" t="s">
        <v>56</v>
      </c>
      <c r="B28" s="11"/>
    </row>
    <row r="29" spans="1:17">
      <c r="A29" s="1" t="s">
        <v>31</v>
      </c>
    </row>
    <row r="30" spans="1:17">
      <c r="A30" t="s">
        <v>12</v>
      </c>
      <c r="B30">
        <v>206265</v>
      </c>
    </row>
    <row r="31" spans="1:17">
      <c r="A31" t="s">
        <v>21</v>
      </c>
      <c r="B31">
        <f>1/B30</f>
        <v>4.8481322570479724E-6</v>
      </c>
    </row>
    <row r="32" spans="1:17">
      <c r="A32" s="1" t="s">
        <v>32</v>
      </c>
    </row>
    <row r="33" spans="1:6">
      <c r="A33" t="s">
        <v>23</v>
      </c>
      <c r="B33" s="2">
        <v>6.6259999999999998E-34</v>
      </c>
      <c r="C33" t="s">
        <v>22</v>
      </c>
    </row>
    <row r="34" spans="1:6">
      <c r="A34" t="s">
        <v>24</v>
      </c>
      <c r="B34" s="2">
        <v>300000000</v>
      </c>
      <c r="C34" t="s">
        <v>27</v>
      </c>
    </row>
    <row r="35" spans="1:6">
      <c r="A35" t="s">
        <v>25</v>
      </c>
      <c r="B35" s="2">
        <v>1E-26</v>
      </c>
      <c r="C35" t="s">
        <v>28</v>
      </c>
    </row>
    <row r="36" spans="1:6">
      <c r="A36" t="s">
        <v>34</v>
      </c>
      <c r="B36" s="2">
        <f>3631*B35</f>
        <v>3.6310000000000001E-23</v>
      </c>
      <c r="C36" t="s">
        <v>26</v>
      </c>
    </row>
    <row r="37" spans="1:6">
      <c r="A37" s="1" t="s">
        <v>1</v>
      </c>
    </row>
    <row r="38" spans="1:6">
      <c r="A38" t="s">
        <v>29</v>
      </c>
      <c r="B38" s="2">
        <f>B9/B6</f>
        <v>5.0000000000000004E-6</v>
      </c>
    </row>
    <row r="39" spans="1:6">
      <c r="A39" t="s">
        <v>30</v>
      </c>
      <c r="B39" s="2">
        <f>B38*B30</f>
        <v>1.031325</v>
      </c>
    </row>
    <row r="40" spans="1:6">
      <c r="A40" s="1" t="s">
        <v>33</v>
      </c>
    </row>
    <row r="41" spans="1:6">
      <c r="A41" t="s">
        <v>36</v>
      </c>
      <c r="B41" s="2">
        <f>B34/B23</f>
        <v>126050420168067.22</v>
      </c>
      <c r="C41" t="s">
        <v>35</v>
      </c>
    </row>
    <row r="42" spans="1:6">
      <c r="A42" t="s">
        <v>37</v>
      </c>
      <c r="B42" s="2">
        <f>B33*B41</f>
        <v>8.3521008403361335E-20</v>
      </c>
      <c r="C42" t="s">
        <v>38</v>
      </c>
    </row>
    <row r="43" spans="1:6">
      <c r="A43" t="s">
        <v>40</v>
      </c>
      <c r="B43" s="2">
        <f>B34 * ((B23-B24/2)^(-1) - (B23+B24/2)^(-1))</f>
        <v>13223814071049.832</v>
      </c>
      <c r="C43" t="s">
        <v>39</v>
      </c>
      <c r="E43" s="2"/>
      <c r="F43" s="2"/>
    </row>
    <row r="44" spans="1:6">
      <c r="A44" s="1" t="s">
        <v>43</v>
      </c>
      <c r="E44" s="2"/>
    </row>
    <row r="45" spans="1:6">
      <c r="A45" s="8" t="s">
        <v>52</v>
      </c>
      <c r="B45" s="9">
        <f>B10*B9*1.1</f>
        <v>0.27033600000000008</v>
      </c>
      <c r="C45" s="8" t="s">
        <v>45</v>
      </c>
      <c r="D45" t="s">
        <v>63</v>
      </c>
      <c r="E45" s="2"/>
    </row>
    <row r="46" spans="1:6">
      <c r="A46" t="s">
        <v>53</v>
      </c>
      <c r="B46" s="2">
        <f>(PI()*B12^2)/4 - B45</f>
        <v>0.51506216339744815</v>
      </c>
      <c r="C46" t="s">
        <v>44</v>
      </c>
    </row>
    <row r="47" spans="1:6">
      <c r="A47" t="s">
        <v>41</v>
      </c>
      <c r="B47">
        <f>((1-B17)^B18)*((1-B19)^B20)</f>
        <v>0.94094352059999997</v>
      </c>
    </row>
    <row r="48" spans="1:6">
      <c r="A48" t="s">
        <v>42</v>
      </c>
      <c r="B48">
        <f>B15*B16*B47</f>
        <v>0.87601841767859989</v>
      </c>
      <c r="C48" t="s">
        <v>46</v>
      </c>
    </row>
    <row r="51" spans="1:3">
      <c r="A51" s="1" t="s">
        <v>49</v>
      </c>
      <c r="B51" s="1"/>
    </row>
    <row r="52" spans="1:3">
      <c r="A52" t="s">
        <v>48</v>
      </c>
      <c r="B52">
        <v>1</v>
      </c>
      <c r="C52" t="s">
        <v>54</v>
      </c>
    </row>
    <row r="54" spans="1:3">
      <c r="A54" s="1"/>
    </row>
    <row r="58" spans="1:3">
      <c r="A58" s="1"/>
    </row>
  </sheetData>
  <mergeCells count="3">
    <mergeCell ref="A2:B2"/>
    <mergeCell ref="F6:Q6"/>
    <mergeCell ref="A28:B28"/>
  </mergeCells>
  <conditionalFormatting sqref="E3">
    <cfRule type="cellIs" dxfId="2" priority="2" operator="greaterThan">
      <formula>$E$3</formula>
    </cfRule>
  </conditionalFormatting>
  <conditionalFormatting sqref="F6:Q21">
    <cfRule type="cellIs" dxfId="1" priority="1" operator="lessThan">
      <formula>$E$3</formula>
    </cfRule>
  </conditionalFormatting>
  <conditionalFormatting sqref="F7:Q21 F23">
    <cfRule type="cellIs" dxfId="0" priority="3" operator="greaterThan">
      <formula>$E$3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</vt:lpstr>
      <vt:lpstr>Full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Earley, Nicholas M.</cp:lastModifiedBy>
  <dcterms:created xsi:type="dcterms:W3CDTF">2023-07-04T17:04:53Z</dcterms:created>
  <dcterms:modified xsi:type="dcterms:W3CDTF">2024-05-11T19:59:38Z</dcterms:modified>
</cp:coreProperties>
</file>