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leyn138/Library/CloudStorage/Box-Box/cryoscope/projects/etc/cryoscope_etc/"/>
    </mc:Choice>
  </mc:AlternateContent>
  <xr:revisionPtr revIDLastSave="0" documentId="13_ncr:1_{971D1D27-B054-D04B-AFCA-C7B48B2A8107}" xr6:coauthVersionLast="47" xr6:coauthVersionMax="47" xr10:uidLastSave="{00000000-0000-0000-0000-000000000000}"/>
  <bookViews>
    <workbookView xWindow="4400" yWindow="500" windowWidth="27640" windowHeight="15940" activeTab="1" xr2:uid="{BB288948-5939-FC46-83E2-B7EB5588CFC4}"/>
  </bookViews>
  <sheets>
    <sheet name="Prototype" sheetId="1" r:id="rId1"/>
    <sheet name="Full sca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3" l="1"/>
  <c r="B47" i="3"/>
  <c r="B48" i="3" s="1"/>
  <c r="B46" i="3"/>
  <c r="B43" i="3"/>
  <c r="B41" i="3"/>
  <c r="B42" i="3" s="1"/>
  <c r="B38" i="3"/>
  <c r="B39" i="3" s="1"/>
  <c r="B36" i="3"/>
  <c r="B31" i="3"/>
  <c r="G5" i="3"/>
  <c r="F5" i="3"/>
  <c r="G4" i="3"/>
  <c r="H4" i="3" s="1"/>
  <c r="B47" i="1"/>
  <c r="B48" i="1" s="1"/>
  <c r="B46" i="1"/>
  <c r="G4" i="1"/>
  <c r="H4" i="1" s="1"/>
  <c r="I4" i="1" s="1"/>
  <c r="F5" i="1"/>
  <c r="B43" i="1"/>
  <c r="B41" i="1"/>
  <c r="B42" i="1" s="1"/>
  <c r="B38" i="1"/>
  <c r="B39" i="1" s="1"/>
  <c r="B36" i="1"/>
  <c r="B31" i="1"/>
  <c r="E23" i="1" l="1"/>
  <c r="E14" i="3"/>
  <c r="I4" i="3"/>
  <c r="H5" i="3"/>
  <c r="E23" i="3"/>
  <c r="E10" i="3"/>
  <c r="E8" i="3"/>
  <c r="E11" i="3"/>
  <c r="E16" i="3"/>
  <c r="E19" i="3"/>
  <c r="E13" i="3"/>
  <c r="E21" i="3"/>
  <c r="E18" i="3"/>
  <c r="E12" i="3"/>
  <c r="E20" i="3"/>
  <c r="E17" i="3"/>
  <c r="E7" i="3"/>
  <c r="E15" i="3"/>
  <c r="E9" i="3"/>
  <c r="E21" i="1"/>
  <c r="E20" i="1"/>
  <c r="E19" i="1"/>
  <c r="E18" i="1"/>
  <c r="G5" i="1"/>
  <c r="I5" i="1"/>
  <c r="J4" i="1"/>
  <c r="H5" i="1"/>
  <c r="E16" i="1"/>
  <c r="E14" i="1"/>
  <c r="E12" i="1"/>
  <c r="E17" i="1"/>
  <c r="E8" i="1"/>
  <c r="E15" i="1"/>
  <c r="E13" i="1"/>
  <c r="E11" i="1"/>
  <c r="E7" i="1"/>
  <c r="E10" i="1"/>
  <c r="E9" i="1"/>
  <c r="F11" i="3" l="1"/>
  <c r="H11" i="3"/>
  <c r="G11" i="3"/>
  <c r="H16" i="3"/>
  <c r="G16" i="3"/>
  <c r="F16" i="3"/>
  <c r="H8" i="3"/>
  <c r="G8" i="3"/>
  <c r="F8" i="3"/>
  <c r="F18" i="3"/>
  <c r="H18" i="3"/>
  <c r="G18" i="3"/>
  <c r="F21" i="3"/>
  <c r="G21" i="3"/>
  <c r="H21" i="3"/>
  <c r="F17" i="3"/>
  <c r="G17" i="3"/>
  <c r="H17" i="3"/>
  <c r="G12" i="3"/>
  <c r="F12" i="3"/>
  <c r="H12" i="3"/>
  <c r="F9" i="3"/>
  <c r="H9" i="3"/>
  <c r="G9" i="3"/>
  <c r="I9" i="3"/>
  <c r="G13" i="3"/>
  <c r="F13" i="3"/>
  <c r="I13" i="3"/>
  <c r="H13" i="3"/>
  <c r="I5" i="3"/>
  <c r="I18" i="3" s="1"/>
  <c r="J4" i="3"/>
  <c r="H7" i="3"/>
  <c r="G7" i="3"/>
  <c r="F7" i="3"/>
  <c r="G20" i="3"/>
  <c r="F20" i="3"/>
  <c r="H20" i="3"/>
  <c r="H10" i="3"/>
  <c r="F10" i="3"/>
  <c r="G10" i="3"/>
  <c r="H15" i="3"/>
  <c r="G15" i="3"/>
  <c r="F15" i="3"/>
  <c r="H19" i="3"/>
  <c r="G19" i="3"/>
  <c r="F19" i="3"/>
  <c r="F14" i="3"/>
  <c r="H14" i="3"/>
  <c r="G14" i="3"/>
  <c r="G21" i="1"/>
  <c r="F21" i="1"/>
  <c r="G20" i="1"/>
  <c r="H20" i="1"/>
  <c r="F20" i="1"/>
  <c r="H21" i="1"/>
  <c r="I21" i="1"/>
  <c r="I20" i="1"/>
  <c r="G18" i="1"/>
  <c r="H18" i="1"/>
  <c r="I18" i="1"/>
  <c r="F18" i="1"/>
  <c r="F19" i="1"/>
  <c r="G19" i="1"/>
  <c r="H19" i="1"/>
  <c r="I19" i="1"/>
  <c r="G17" i="1"/>
  <c r="F17" i="1"/>
  <c r="H17" i="1"/>
  <c r="I17" i="1"/>
  <c r="H12" i="1"/>
  <c r="I12" i="1"/>
  <c r="G12" i="1"/>
  <c r="F12" i="1"/>
  <c r="G7" i="1"/>
  <c r="H7" i="1"/>
  <c r="I7" i="1"/>
  <c r="F7" i="1"/>
  <c r="G9" i="1"/>
  <c r="H9" i="1"/>
  <c r="I9" i="1"/>
  <c r="F9" i="1"/>
  <c r="H10" i="1"/>
  <c r="I10" i="1"/>
  <c r="F10" i="1"/>
  <c r="G10" i="1"/>
  <c r="G14" i="1"/>
  <c r="H14" i="1"/>
  <c r="I14" i="1"/>
  <c r="F14" i="1"/>
  <c r="F16" i="1"/>
  <c r="G16" i="1"/>
  <c r="H16" i="1"/>
  <c r="I16" i="1"/>
  <c r="G11" i="1"/>
  <c r="H11" i="1"/>
  <c r="I11" i="1"/>
  <c r="F11" i="1"/>
  <c r="G13" i="1"/>
  <c r="F13" i="1"/>
  <c r="H13" i="1"/>
  <c r="I13" i="1"/>
  <c r="I15" i="1"/>
  <c r="F15" i="1"/>
  <c r="G15" i="1"/>
  <c r="H15" i="1"/>
  <c r="G8" i="1"/>
  <c r="I8" i="1"/>
  <c r="F8" i="1"/>
  <c r="H8" i="1"/>
  <c r="J5" i="1"/>
  <c r="J17" i="1" s="1"/>
  <c r="K4" i="1"/>
  <c r="I20" i="3" l="1"/>
  <c r="I21" i="3"/>
  <c r="I12" i="3"/>
  <c r="K4" i="3"/>
  <c r="J5" i="3"/>
  <c r="I15" i="3"/>
  <c r="I7" i="3"/>
  <c r="I17" i="3"/>
  <c r="I11" i="3"/>
  <c r="I16" i="3"/>
  <c r="I19" i="3"/>
  <c r="I10" i="3"/>
  <c r="I8" i="3"/>
  <c r="I14" i="3"/>
  <c r="J20" i="1"/>
  <c r="J21" i="1"/>
  <c r="J18" i="1"/>
  <c r="J19" i="1"/>
  <c r="J14" i="1"/>
  <c r="J7" i="1"/>
  <c r="J15" i="1"/>
  <c r="J13" i="1"/>
  <c r="J11" i="1"/>
  <c r="J9" i="1"/>
  <c r="J8" i="1"/>
  <c r="J16" i="1"/>
  <c r="J10" i="1"/>
  <c r="J12" i="1"/>
  <c r="L4" i="1"/>
  <c r="K5" i="1"/>
  <c r="J15" i="3" l="1"/>
  <c r="J19" i="3"/>
  <c r="J17" i="3"/>
  <c r="J10" i="3"/>
  <c r="J11" i="3"/>
  <c r="J16" i="3"/>
  <c r="J9" i="3"/>
  <c r="J7" i="3"/>
  <c r="J21" i="3"/>
  <c r="J20" i="3"/>
  <c r="J8" i="3"/>
  <c r="J18" i="3"/>
  <c r="J12" i="3"/>
  <c r="J13" i="3"/>
  <c r="J14" i="3"/>
  <c r="K5" i="3"/>
  <c r="L4" i="3"/>
  <c r="K21" i="1"/>
  <c r="K20" i="1"/>
  <c r="K18" i="1"/>
  <c r="K19" i="1"/>
  <c r="M4" i="1"/>
  <c r="L5" i="1"/>
  <c r="K13" i="1"/>
  <c r="K8" i="1"/>
  <c r="K10" i="1"/>
  <c r="K14" i="1"/>
  <c r="K16" i="1"/>
  <c r="K17" i="1"/>
  <c r="K12" i="1"/>
  <c r="K9" i="1"/>
  <c r="K7" i="1"/>
  <c r="K11" i="1"/>
  <c r="K15" i="1"/>
  <c r="K9" i="3" l="1"/>
  <c r="K7" i="3"/>
  <c r="K10" i="3"/>
  <c r="K14" i="3"/>
  <c r="K11" i="3"/>
  <c r="K20" i="3"/>
  <c r="K8" i="3"/>
  <c r="K13" i="3"/>
  <c r="K18" i="3"/>
  <c r="K16" i="3"/>
  <c r="K17" i="3"/>
  <c r="K12" i="3"/>
  <c r="K19" i="3"/>
  <c r="K21" i="3"/>
  <c r="K15" i="3"/>
  <c r="L5" i="3"/>
  <c r="M4" i="3"/>
  <c r="L20" i="1"/>
  <c r="L21" i="1"/>
  <c r="L18" i="1"/>
  <c r="L19" i="1"/>
  <c r="L16" i="1"/>
  <c r="L13" i="1"/>
  <c r="L15" i="1"/>
  <c r="L9" i="1"/>
  <c r="L8" i="1"/>
  <c r="L10" i="1"/>
  <c r="L12" i="1"/>
  <c r="L7" i="1"/>
  <c r="L14" i="1"/>
  <c r="L17" i="1"/>
  <c r="L11" i="1"/>
  <c r="N4" i="1"/>
  <c r="M5" i="1"/>
  <c r="L11" i="3" l="1"/>
  <c r="L16" i="3"/>
  <c r="L15" i="3"/>
  <c r="L10" i="3"/>
  <c r="L19" i="3"/>
  <c r="L12" i="3"/>
  <c r="L7" i="3"/>
  <c r="L13" i="3"/>
  <c r="L18" i="3"/>
  <c r="L14" i="3"/>
  <c r="L20" i="3"/>
  <c r="L21" i="3"/>
  <c r="L8" i="3"/>
  <c r="L17" i="3"/>
  <c r="L9" i="3"/>
  <c r="M5" i="3"/>
  <c r="N4" i="3"/>
  <c r="M20" i="1"/>
  <c r="M21" i="1"/>
  <c r="M18" i="1"/>
  <c r="M19" i="1"/>
  <c r="M17" i="1"/>
  <c r="M13" i="1"/>
  <c r="M15" i="1"/>
  <c r="M8" i="1"/>
  <c r="M11" i="1"/>
  <c r="M12" i="1"/>
  <c r="M7" i="1"/>
  <c r="M16" i="1"/>
  <c r="M10" i="1"/>
  <c r="M9" i="1"/>
  <c r="M14" i="1"/>
  <c r="O4" i="1"/>
  <c r="N5" i="1"/>
  <c r="M11" i="3" l="1"/>
  <c r="M14" i="3"/>
  <c r="M17" i="3"/>
  <c r="M10" i="3"/>
  <c r="M16" i="3"/>
  <c r="M12" i="3"/>
  <c r="M19" i="3"/>
  <c r="M13" i="3"/>
  <c r="M20" i="3"/>
  <c r="M18" i="3"/>
  <c r="M8" i="3"/>
  <c r="M9" i="3"/>
  <c r="M7" i="3"/>
  <c r="M15" i="3"/>
  <c r="M21" i="3"/>
  <c r="N5" i="3"/>
  <c r="O4" i="3"/>
  <c r="N20" i="1"/>
  <c r="N21" i="1"/>
  <c r="N18" i="1"/>
  <c r="N19" i="1"/>
  <c r="N15" i="1"/>
  <c r="N14" i="1"/>
  <c r="N7" i="1"/>
  <c r="N16" i="1"/>
  <c r="N13" i="1"/>
  <c r="N12" i="1"/>
  <c r="N11" i="1"/>
  <c r="N10" i="1"/>
  <c r="N8" i="1"/>
  <c r="N17" i="1"/>
  <c r="N9" i="1"/>
  <c r="P4" i="1"/>
  <c r="O5" i="1"/>
  <c r="N17" i="3" l="1"/>
  <c r="N13" i="3"/>
  <c r="N15" i="3"/>
  <c r="N18" i="3"/>
  <c r="N8" i="3"/>
  <c r="N21" i="3"/>
  <c r="N7" i="3"/>
  <c r="N9" i="3"/>
  <c r="N11" i="3"/>
  <c r="N19" i="3"/>
  <c r="N16" i="3"/>
  <c r="N12" i="3"/>
  <c r="N20" i="3"/>
  <c r="N10" i="3"/>
  <c r="N14" i="3"/>
  <c r="P4" i="3"/>
  <c r="O5" i="3"/>
  <c r="O20" i="1"/>
  <c r="O21" i="1"/>
  <c r="O18" i="1"/>
  <c r="O19" i="1"/>
  <c r="Q4" i="1"/>
  <c r="Q5" i="1" s="1"/>
  <c r="P5" i="1"/>
  <c r="O10" i="1"/>
  <c r="O16" i="1"/>
  <c r="O13" i="1"/>
  <c r="O8" i="1"/>
  <c r="O17" i="1"/>
  <c r="O7" i="1"/>
  <c r="O9" i="1"/>
  <c r="O15" i="1"/>
  <c r="O12" i="1"/>
  <c r="O14" i="1"/>
  <c r="O11" i="1"/>
  <c r="Q4" i="3" l="1"/>
  <c r="Q5" i="3" s="1"/>
  <c r="P5" i="3"/>
  <c r="O18" i="3"/>
  <c r="O21" i="3"/>
  <c r="O17" i="3"/>
  <c r="O7" i="3"/>
  <c r="O10" i="3"/>
  <c r="O15" i="3"/>
  <c r="O20" i="3"/>
  <c r="O8" i="3"/>
  <c r="O9" i="3"/>
  <c r="O11" i="3"/>
  <c r="O14" i="3"/>
  <c r="O19" i="3"/>
  <c r="O13" i="3"/>
  <c r="O16" i="3"/>
  <c r="O12" i="3"/>
  <c r="Q20" i="1"/>
  <c r="Q21" i="1"/>
  <c r="P20" i="1"/>
  <c r="P21" i="1"/>
  <c r="P18" i="1"/>
  <c r="P19" i="1"/>
  <c r="Q19" i="1"/>
  <c r="Q18" i="1"/>
  <c r="P14" i="1"/>
  <c r="P11" i="1"/>
  <c r="P13" i="1"/>
  <c r="P12" i="1"/>
  <c r="P17" i="1"/>
  <c r="P7" i="1"/>
  <c r="P8" i="1"/>
  <c r="P9" i="1"/>
  <c r="P10" i="1"/>
  <c r="P16" i="1"/>
  <c r="P15" i="1"/>
  <c r="Q16" i="1"/>
  <c r="Q8" i="1"/>
  <c r="Q9" i="1"/>
  <c r="Q10" i="1"/>
  <c r="Q13" i="1"/>
  <c r="Q15" i="1"/>
  <c r="Q14" i="1"/>
  <c r="Q11" i="1"/>
  <c r="Q7" i="1"/>
  <c r="Q17" i="1"/>
  <c r="Q12" i="1"/>
  <c r="P14" i="3" l="1"/>
  <c r="P20" i="3"/>
  <c r="P11" i="3"/>
  <c r="P18" i="3"/>
  <c r="P12" i="3"/>
  <c r="P17" i="3"/>
  <c r="P21" i="3"/>
  <c r="P15" i="3"/>
  <c r="P16" i="3"/>
  <c r="P8" i="3"/>
  <c r="P9" i="3"/>
  <c r="P7" i="3"/>
  <c r="P10" i="3"/>
  <c r="P13" i="3"/>
  <c r="P19" i="3"/>
  <c r="Q8" i="3"/>
  <c r="Q12" i="3"/>
  <c r="Q10" i="3"/>
  <c r="Q15" i="3"/>
  <c r="Q17" i="3"/>
  <c r="Q9" i="3"/>
  <c r="Q16" i="3"/>
  <c r="Q11" i="3"/>
  <c r="Q21" i="3"/>
  <c r="Q20" i="3"/>
  <c r="Q14" i="3"/>
  <c r="Q18" i="3"/>
  <c r="Q7" i="3"/>
  <c r="Q19" i="3"/>
  <c r="Q13" i="3"/>
</calcChain>
</file>

<file path=xl/sharedStrings.xml><?xml version="1.0" encoding="utf-8"?>
<sst xmlns="http://schemas.openxmlformats.org/spreadsheetml/2006/main" count="131" uniqueCount="68">
  <si>
    <t>Number of pixels on edge</t>
  </si>
  <si>
    <t>Plate scale</t>
  </si>
  <si>
    <t>QE</t>
  </si>
  <si>
    <t>Telescope properties</t>
  </si>
  <si>
    <t>Throughputs</t>
  </si>
  <si>
    <t>Average sky transmission</t>
  </si>
  <si>
    <t>Filter throughput</t>
  </si>
  <si>
    <t>Transmission loss per surface</t>
  </si>
  <si>
    <t>Number of transmission losses</t>
  </si>
  <si>
    <t>Loss per reflection</t>
  </si>
  <si>
    <t>Number of reflections</t>
  </si>
  <si>
    <t>K-dark observing</t>
  </si>
  <si>
    <t>Radians to Arcsec</t>
  </si>
  <si>
    <t>Sky Brightness (Jy arcsec^2)</t>
  </si>
  <si>
    <t>Focal Length (m)</t>
  </si>
  <si>
    <t>Read Noise (e)</t>
  </si>
  <si>
    <t>Dark Current (e/s)</t>
  </si>
  <si>
    <t>Pixel Size (m)</t>
  </si>
  <si>
    <t>Central wavelength (m)</t>
  </si>
  <si>
    <t>Passband (m)</t>
  </si>
  <si>
    <t>Aperture diameter (m)</t>
  </si>
  <si>
    <t>Arcsec to Radians</t>
  </si>
  <si>
    <t>Planck constant</t>
  </si>
  <si>
    <t>h (J s)</t>
  </si>
  <si>
    <t>c (m/s)</t>
  </si>
  <si>
    <t>Jy (J s^-1 m^-2 Hz^-1)</t>
  </si>
  <si>
    <t>Zero point for AB magnitude</t>
  </si>
  <si>
    <t>speed of light</t>
  </si>
  <si>
    <t>Jansky in SI units</t>
  </si>
  <si>
    <t>Pixel size in radians</t>
  </si>
  <si>
    <t>Plate scale (Pixel size in arcsec)</t>
  </si>
  <si>
    <t>Conversions</t>
  </si>
  <si>
    <t>Constants</t>
  </si>
  <si>
    <t>Bandwidth characteristics</t>
  </si>
  <si>
    <t>F0 (J s^-1 m^-2 Hz^-1)</t>
  </si>
  <si>
    <t>Photon frequency at band center</t>
  </si>
  <si>
    <t>nu0 (Hz)</t>
  </si>
  <si>
    <t>E0 (J)</t>
  </si>
  <si>
    <t>Photon energy at band center</t>
  </si>
  <si>
    <t>Bandwidth</t>
  </si>
  <si>
    <t>Delta nu (Hz)</t>
  </si>
  <si>
    <t>Optical throughput</t>
  </si>
  <si>
    <t>Transmission</t>
  </si>
  <si>
    <t>Collecting area/Transmission</t>
  </si>
  <si>
    <t>Telescope's collecting area</t>
  </si>
  <si>
    <t>Obscurations to the incident light</t>
  </si>
  <si>
    <t>Fraction of photons at top of the atmosphere that make it to the detector</t>
  </si>
  <si>
    <t xml:space="preserve">Input Parameters </t>
  </si>
  <si>
    <t>neff</t>
  </si>
  <si>
    <t>Effective number of pixels</t>
  </si>
  <si>
    <t>Sky noise (e/s)</t>
  </si>
  <si>
    <t>Source rate (e/s)</t>
  </si>
  <si>
    <t>AB Magnitude</t>
  </si>
  <si>
    <t>Beam obstruction (m^2)</t>
  </si>
  <si>
    <t>Unobstructed area (m^2)</t>
  </si>
  <si>
    <t>for now, assuming that all light from a source falls on one pixel due to PSF undersampling</t>
  </si>
  <si>
    <t xml:space="preserve">Coadds </t>
  </si>
  <si>
    <t>Usable values (do not modify)</t>
  </si>
  <si>
    <t>Integration time (s)</t>
  </si>
  <si>
    <t xml:space="preserve">SNR </t>
  </si>
  <si>
    <t>Frame Time (s)</t>
  </si>
  <si>
    <t>Desired SNR</t>
  </si>
  <si>
    <t>For input sky brightness</t>
  </si>
  <si>
    <t>Observable conditions given the desired SNR are highlighted in green, not observable in red</t>
  </si>
  <si>
    <t xml:space="preserve">*Note that this is an estimation based on the size of the focal plane + some fudge factor </t>
  </si>
  <si>
    <t>Cryoscope Pathfinder Excel ETC (09132023)</t>
  </si>
  <si>
    <t>Cryoscope Full Scale Excel ETC (09132023)</t>
  </si>
  <si>
    <t>Measured from design, includes detector housing+spider vanes in 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</si>
</sst>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M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11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B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DD-D1C8-CB4C-8296-CC22CADB6B09}">
  <dimension ref="A1:R58"/>
  <sheetViews>
    <sheetView zoomScaleNormal="100" workbookViewId="0"/>
  </sheetViews>
  <sheetFormatPr baseColWidth="10" defaultRowHeight="16"/>
  <cols>
    <col min="1" max="1" width="26.5" customWidth="1"/>
    <col min="2" max="2" width="12.1640625" bestFit="1" customWidth="1"/>
    <col min="3" max="3" width="28" customWidth="1"/>
    <col min="4" max="4" width="18.5" customWidth="1"/>
    <col min="5" max="5" width="17.83203125" customWidth="1"/>
  </cols>
  <sheetData>
    <row r="1" spans="1:18">
      <c r="A1" t="s">
        <v>65</v>
      </c>
    </row>
    <row r="2" spans="1:18">
      <c r="A2" s="8" t="s">
        <v>47</v>
      </c>
      <c r="B2" s="8"/>
      <c r="D2" t="s">
        <v>63</v>
      </c>
    </row>
    <row r="3" spans="1:18">
      <c r="A3" s="1" t="s">
        <v>3</v>
      </c>
      <c r="D3" t="s">
        <v>61</v>
      </c>
      <c r="E3" s="4">
        <v>5</v>
      </c>
    </row>
    <row r="4" spans="1:18">
      <c r="A4" t="s">
        <v>60</v>
      </c>
      <c r="B4">
        <v>2</v>
      </c>
      <c r="F4">
        <v>2</v>
      </c>
      <c r="G4">
        <f>F4*2</f>
        <v>4</v>
      </c>
      <c r="H4">
        <f t="shared" ref="H4:Q4" si="0">G4*2</f>
        <v>8</v>
      </c>
      <c r="I4">
        <f t="shared" si="0"/>
        <v>16</v>
      </c>
      <c r="J4">
        <f t="shared" si="0"/>
        <v>32</v>
      </c>
      <c r="K4">
        <f t="shared" si="0"/>
        <v>64</v>
      </c>
      <c r="L4">
        <f t="shared" si="0"/>
        <v>128</v>
      </c>
      <c r="M4">
        <f t="shared" si="0"/>
        <v>256</v>
      </c>
      <c r="N4">
        <f t="shared" si="0"/>
        <v>512</v>
      </c>
      <c r="O4">
        <f t="shared" si="0"/>
        <v>1024</v>
      </c>
      <c r="P4">
        <f t="shared" si="0"/>
        <v>2048</v>
      </c>
      <c r="Q4">
        <f t="shared" si="0"/>
        <v>4096</v>
      </c>
      <c r="R4" t="s">
        <v>56</v>
      </c>
    </row>
    <row r="5" spans="1:18">
      <c r="A5" t="s">
        <v>13</v>
      </c>
      <c r="B5" s="2">
        <v>1.2E-4</v>
      </c>
      <c r="F5" s="7">
        <f>F4*$B$4</f>
        <v>4</v>
      </c>
      <c r="G5" s="7">
        <f t="shared" ref="G5:K5" si="1">G4*$B$4</f>
        <v>8</v>
      </c>
      <c r="H5" s="7">
        <f t="shared" si="1"/>
        <v>16</v>
      </c>
      <c r="I5" s="7">
        <f t="shared" si="1"/>
        <v>32</v>
      </c>
      <c r="J5" s="7">
        <f t="shared" si="1"/>
        <v>64</v>
      </c>
      <c r="K5" s="7">
        <f t="shared" si="1"/>
        <v>128</v>
      </c>
      <c r="L5" s="7">
        <f t="shared" ref="L5" si="2">L4*$B$4</f>
        <v>256</v>
      </c>
      <c r="M5" s="7">
        <f t="shared" ref="M5" si="3">M4*$B$4</f>
        <v>512</v>
      </c>
      <c r="N5" s="7">
        <f t="shared" ref="N5" si="4">N4*$B$4</f>
        <v>1024</v>
      </c>
      <c r="O5" s="7">
        <f t="shared" ref="O5" si="5">O4*$B$4</f>
        <v>2048</v>
      </c>
      <c r="P5" s="7">
        <f t="shared" ref="P5" si="6">P4*$B$4</f>
        <v>4096</v>
      </c>
      <c r="Q5" s="7">
        <f t="shared" ref="Q5" si="7">Q4*$B$4</f>
        <v>8192</v>
      </c>
      <c r="R5" s="1" t="s">
        <v>58</v>
      </c>
    </row>
    <row r="6" spans="1:18">
      <c r="A6" t="s">
        <v>14</v>
      </c>
      <c r="B6">
        <v>0.52500000000000002</v>
      </c>
      <c r="D6" s="1" t="s">
        <v>52</v>
      </c>
      <c r="E6" s="1" t="s">
        <v>51</v>
      </c>
      <c r="F6" s="9" t="s">
        <v>59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8">
      <c r="A7" t="s">
        <v>15</v>
      </c>
      <c r="B7">
        <v>15</v>
      </c>
      <c r="D7" s="1">
        <v>10</v>
      </c>
      <c r="E7" s="6">
        <f>(($B$36*10^(-0.4*D7))/$B$42) * $B$11 * $B$46 * $B$43 * $B$48</f>
        <v>20438.608248904839</v>
      </c>
      <c r="F7" s="5">
        <f t="shared" ref="F7:Q7" si="8">($E$7*F$5)/SQRT($E$7*F$5 + $E$23*F$5 + ($B$52*(F$4*($B$7^2)+($B$8*F$5))))</f>
        <v>282.4906665577098</v>
      </c>
      <c r="G7" s="5">
        <f t="shared" si="8"/>
        <v>399.5021318897289</v>
      </c>
      <c r="H7" s="5">
        <f t="shared" si="8"/>
        <v>564.9813331154196</v>
      </c>
      <c r="I7" s="5">
        <f t="shared" si="8"/>
        <v>799.0042637794578</v>
      </c>
      <c r="J7" s="5">
        <f t="shared" si="8"/>
        <v>1129.9626662308392</v>
      </c>
      <c r="K7" s="5">
        <f t="shared" si="8"/>
        <v>1598.0085275589156</v>
      </c>
      <c r="L7" s="5">
        <f t="shared" si="8"/>
        <v>2259.9253324616784</v>
      </c>
      <c r="M7" s="5">
        <f t="shared" si="8"/>
        <v>3196.0170551178312</v>
      </c>
      <c r="N7" s="5">
        <f t="shared" si="8"/>
        <v>4519.8506649233568</v>
      </c>
      <c r="O7" s="5">
        <f t="shared" si="8"/>
        <v>6392.0341102356624</v>
      </c>
      <c r="P7" s="5">
        <f t="shared" si="8"/>
        <v>9039.7013298467136</v>
      </c>
      <c r="Q7" s="5">
        <f t="shared" si="8"/>
        <v>12784.068220471325</v>
      </c>
    </row>
    <row r="8" spans="1:18">
      <c r="A8" t="s">
        <v>16</v>
      </c>
      <c r="B8">
        <v>50</v>
      </c>
      <c r="D8" s="1">
        <v>11</v>
      </c>
      <c r="E8" s="6">
        <f t="shared" ref="E8:E21" si="9">(($B$36*10^(-0.4*D8))/$B$42) * $B$11 * $B$46 * $B$43 * $B$48</f>
        <v>8136.7565000228551</v>
      </c>
      <c r="F8" s="5">
        <f t="shared" ref="F8:Q8" si="10">($E$8*F$5)/SQRT($E$8*F$5 + $E$23*F$5 + ($B$52*(F$4*($B$7^2)+($B$8*F$5))))</f>
        <v>175.10476423422216</v>
      </c>
      <c r="G8" s="5">
        <f t="shared" si="10"/>
        <v>247.63553241618024</v>
      </c>
      <c r="H8" s="5">
        <f t="shared" si="10"/>
        <v>350.20952846844432</v>
      </c>
      <c r="I8" s="5">
        <f t="shared" si="10"/>
        <v>495.27106483236048</v>
      </c>
      <c r="J8" s="5">
        <f t="shared" si="10"/>
        <v>700.41905693688864</v>
      </c>
      <c r="K8" s="5">
        <f t="shared" si="10"/>
        <v>990.54212966472096</v>
      </c>
      <c r="L8" s="5">
        <f t="shared" si="10"/>
        <v>1400.8381138737773</v>
      </c>
      <c r="M8" s="5">
        <f t="shared" si="10"/>
        <v>1981.0842593294419</v>
      </c>
      <c r="N8" s="5">
        <f t="shared" si="10"/>
        <v>2801.6762277475545</v>
      </c>
      <c r="O8" s="5">
        <f t="shared" si="10"/>
        <v>3962.1685186588838</v>
      </c>
      <c r="P8" s="5">
        <f t="shared" si="10"/>
        <v>5603.3524554951091</v>
      </c>
      <c r="Q8" s="5">
        <f t="shared" si="10"/>
        <v>7924.3370373177677</v>
      </c>
    </row>
    <row r="9" spans="1:18">
      <c r="A9" t="s">
        <v>17</v>
      </c>
      <c r="B9" s="2">
        <v>1.8E-5</v>
      </c>
      <c r="D9" s="1">
        <v>12</v>
      </c>
      <c r="E9" s="6">
        <f t="shared" si="9"/>
        <v>3239.3011077068763</v>
      </c>
      <c r="F9" s="5">
        <f t="shared" ref="F9:Q9" si="11">($E$9*F$5)/SQRT($E$9*F$5 + $E$23*F$5 + ($B$52*(F$4*($B$7^2)+($B$8*F$5))))</f>
        <v>105.9418577407141</v>
      </c>
      <c r="G9" s="5">
        <f t="shared" si="11"/>
        <v>149.82441203991894</v>
      </c>
      <c r="H9" s="5">
        <f t="shared" si="11"/>
        <v>211.8837154814282</v>
      </c>
      <c r="I9" s="5">
        <f t="shared" si="11"/>
        <v>299.64882407983788</v>
      </c>
      <c r="J9" s="5">
        <f t="shared" si="11"/>
        <v>423.76743096285639</v>
      </c>
      <c r="K9" s="5">
        <f t="shared" si="11"/>
        <v>599.29764815967576</v>
      </c>
      <c r="L9" s="5">
        <f t="shared" si="11"/>
        <v>847.53486192571279</v>
      </c>
      <c r="M9" s="5">
        <f t="shared" si="11"/>
        <v>1198.5952963193515</v>
      </c>
      <c r="N9" s="5">
        <f t="shared" si="11"/>
        <v>1695.0697238514256</v>
      </c>
      <c r="O9" s="5">
        <f t="shared" si="11"/>
        <v>2397.190592638703</v>
      </c>
      <c r="P9" s="5">
        <f t="shared" si="11"/>
        <v>3390.1394477028512</v>
      </c>
      <c r="Q9" s="5">
        <f t="shared" si="11"/>
        <v>4794.3811852774061</v>
      </c>
    </row>
    <row r="10" spans="1:18">
      <c r="D10" s="1">
        <v>13</v>
      </c>
      <c r="E10" s="6">
        <f t="shared" si="9"/>
        <v>1289.5889985599945</v>
      </c>
      <c r="F10" s="5">
        <f t="shared" ref="F10:Q10" si="12">($E$10*F$5)/SQRT($E$10*F$5 + $E$23*F$5 + ($B$52*(F$4*($B$7^2)+($B$8*F$5))))</f>
        <v>60.962951667848699</v>
      </c>
      <c r="G10" s="5">
        <f t="shared" si="12"/>
        <v>86.214633050967123</v>
      </c>
      <c r="H10" s="5">
        <f t="shared" si="12"/>
        <v>121.9259033356974</v>
      </c>
      <c r="I10" s="5">
        <f t="shared" si="12"/>
        <v>172.42926610193425</v>
      </c>
      <c r="J10" s="5">
        <f t="shared" si="12"/>
        <v>243.8518066713948</v>
      </c>
      <c r="K10" s="5">
        <f t="shared" si="12"/>
        <v>344.85853220386849</v>
      </c>
      <c r="L10" s="5">
        <f t="shared" si="12"/>
        <v>487.70361334278959</v>
      </c>
      <c r="M10" s="5">
        <f t="shared" si="12"/>
        <v>689.71706440773698</v>
      </c>
      <c r="N10" s="5">
        <f t="shared" si="12"/>
        <v>975.40722668557919</v>
      </c>
      <c r="O10" s="5">
        <f t="shared" si="12"/>
        <v>1379.434128815474</v>
      </c>
      <c r="P10" s="5">
        <f t="shared" si="12"/>
        <v>1950.8144533711584</v>
      </c>
      <c r="Q10" s="5">
        <f t="shared" si="12"/>
        <v>2758.8682576309479</v>
      </c>
    </row>
    <row r="11" spans="1:18">
      <c r="A11" t="s">
        <v>2</v>
      </c>
      <c r="B11">
        <v>0.9</v>
      </c>
      <c r="D11" s="1">
        <v>14</v>
      </c>
      <c r="E11" s="6">
        <f t="shared" si="9"/>
        <v>513.39462739363762</v>
      </c>
      <c r="F11" s="5">
        <f t="shared" ref="F11:Q11" si="13">($E$11*F$5)/SQRT($E$11*F$5 + $E$23*F$5 + ($B$52*(F$4*($B$7^2)+($B$8*F$5))))</f>
        <v>32.249554361531906</v>
      </c>
      <c r="G11" s="5">
        <f t="shared" si="13"/>
        <v>45.60775715856682</v>
      </c>
      <c r="H11" s="5">
        <f t="shared" si="13"/>
        <v>64.499108723063813</v>
      </c>
      <c r="I11" s="5">
        <f t="shared" si="13"/>
        <v>91.215514317133639</v>
      </c>
      <c r="J11" s="5">
        <f t="shared" si="13"/>
        <v>128.99821744612763</v>
      </c>
      <c r="K11" s="5">
        <f t="shared" si="13"/>
        <v>182.43102863426728</v>
      </c>
      <c r="L11" s="5">
        <f t="shared" si="13"/>
        <v>257.99643489225525</v>
      </c>
      <c r="M11" s="5">
        <f t="shared" si="13"/>
        <v>364.86205726853456</v>
      </c>
      <c r="N11" s="5">
        <f t="shared" si="13"/>
        <v>515.9928697845105</v>
      </c>
      <c r="O11" s="5">
        <f t="shared" si="13"/>
        <v>729.72411453706911</v>
      </c>
      <c r="P11" s="5">
        <f t="shared" si="13"/>
        <v>1031.985739569021</v>
      </c>
      <c r="Q11" s="5">
        <f t="shared" si="13"/>
        <v>1459.4482290741382</v>
      </c>
    </row>
    <row r="12" spans="1:18">
      <c r="A12" t="s">
        <v>20</v>
      </c>
      <c r="B12">
        <v>0.26</v>
      </c>
      <c r="D12" s="1">
        <v>15</v>
      </c>
      <c r="E12" s="6">
        <f t="shared" si="9"/>
        <v>204.38608248904833</v>
      </c>
      <c r="F12" s="5">
        <f t="shared" ref="F12:Q12" si="14">($E$12*F$5)/SQRT($E$12*F$5 + $E$23*F$5 + ($B$52*(F$4*($B$7^2)+($B$8*F$5))))</f>
        <v>15.398473783546747</v>
      </c>
      <c r="G12" s="5">
        <f t="shared" si="14"/>
        <v>21.776730464538353</v>
      </c>
      <c r="H12" s="5">
        <f t="shared" si="14"/>
        <v>30.796947567093493</v>
      </c>
      <c r="I12" s="5">
        <f t="shared" si="14"/>
        <v>43.553460929076707</v>
      </c>
      <c r="J12" s="5">
        <f t="shared" si="14"/>
        <v>61.593895134186987</v>
      </c>
      <c r="K12" s="5">
        <f t="shared" si="14"/>
        <v>87.106921858153413</v>
      </c>
      <c r="L12" s="5">
        <f t="shared" si="14"/>
        <v>123.18779026837397</v>
      </c>
      <c r="M12" s="5">
        <f t="shared" si="14"/>
        <v>174.21384371630683</v>
      </c>
      <c r="N12" s="5">
        <f t="shared" si="14"/>
        <v>246.37558053674795</v>
      </c>
      <c r="O12" s="5">
        <f t="shared" si="14"/>
        <v>348.42768743261365</v>
      </c>
      <c r="P12" s="5">
        <f t="shared" si="14"/>
        <v>492.75116107349589</v>
      </c>
      <c r="Q12" s="5">
        <f t="shared" si="14"/>
        <v>696.8553748652273</v>
      </c>
    </row>
    <row r="13" spans="1:18">
      <c r="D13" s="1">
        <v>16</v>
      </c>
      <c r="E13" s="6">
        <f t="shared" si="9"/>
        <v>81.367565000228524</v>
      </c>
      <c r="F13" s="5">
        <f t="shared" ref="F13:Q13" si="15">($E$13*F$5)/SQRT($E$13*F$5 + $E$23*F$5 + ($B$52*(F$4*($B$7^2)+($B$8*F$5))))</f>
        <v>6.747406527050865</v>
      </c>
      <c r="G13" s="5">
        <f t="shared" si="15"/>
        <v>9.5422738214000784</v>
      </c>
      <c r="H13" s="5">
        <f t="shared" si="15"/>
        <v>13.49481305410173</v>
      </c>
      <c r="I13" s="5">
        <f t="shared" si="15"/>
        <v>19.084547642800157</v>
      </c>
      <c r="J13" s="5">
        <f t="shared" si="15"/>
        <v>26.98962610820346</v>
      </c>
      <c r="K13" s="5">
        <f t="shared" si="15"/>
        <v>38.169095285600314</v>
      </c>
      <c r="L13" s="5">
        <f t="shared" si="15"/>
        <v>53.97925221640692</v>
      </c>
      <c r="M13" s="5">
        <f t="shared" si="15"/>
        <v>76.338190571200627</v>
      </c>
      <c r="N13" s="5">
        <f t="shared" si="15"/>
        <v>107.95850443281384</v>
      </c>
      <c r="O13" s="5">
        <f t="shared" si="15"/>
        <v>152.67638114240125</v>
      </c>
      <c r="P13" s="5">
        <f t="shared" si="15"/>
        <v>215.91700886562768</v>
      </c>
      <c r="Q13" s="5">
        <f t="shared" si="15"/>
        <v>305.35276228480251</v>
      </c>
    </row>
    <row r="14" spans="1:18">
      <c r="A14" s="1" t="s">
        <v>4</v>
      </c>
      <c r="D14" s="1">
        <v>17</v>
      </c>
      <c r="E14" s="6">
        <f t="shared" si="9"/>
        <v>32.393011077068749</v>
      </c>
      <c r="F14" s="5">
        <f t="shared" ref="F14:Q14" si="16">($E$14*F$5)/SQRT($E$14*F$5 + $E$23*F$5 + ($B$52*(F$4*($B$7^2)+($B$8*F$5))))</f>
        <v>2.8069530996587697</v>
      </c>
      <c r="G14" s="5">
        <f t="shared" si="16"/>
        <v>3.9696311424826298</v>
      </c>
      <c r="H14" s="5">
        <f t="shared" si="16"/>
        <v>5.6139061993175394</v>
      </c>
      <c r="I14" s="5">
        <f t="shared" si="16"/>
        <v>7.9392622849652597</v>
      </c>
      <c r="J14" s="5">
        <f t="shared" si="16"/>
        <v>11.227812398635079</v>
      </c>
      <c r="K14" s="5">
        <f t="shared" si="16"/>
        <v>15.878524569930519</v>
      </c>
      <c r="L14" s="5">
        <f t="shared" si="16"/>
        <v>22.455624797270158</v>
      </c>
      <c r="M14" s="5">
        <f t="shared" si="16"/>
        <v>31.757049139861039</v>
      </c>
      <c r="N14" s="5">
        <f t="shared" si="16"/>
        <v>44.911249594540315</v>
      </c>
      <c r="O14" s="5">
        <f t="shared" si="16"/>
        <v>63.514098279722077</v>
      </c>
      <c r="P14" s="5">
        <f t="shared" si="16"/>
        <v>89.822499189080631</v>
      </c>
      <c r="Q14" s="5">
        <f t="shared" si="16"/>
        <v>127.02819655944415</v>
      </c>
    </row>
    <row r="15" spans="1:18">
      <c r="A15" t="s">
        <v>5</v>
      </c>
      <c r="B15">
        <v>0.95</v>
      </c>
      <c r="D15" s="1">
        <v>18</v>
      </c>
      <c r="E15" s="6">
        <f t="shared" si="9"/>
        <v>12.895889985599938</v>
      </c>
      <c r="F15" s="5">
        <f t="shared" ref="F15:Q15" si="17">($E$15*F$5)/SQRT($E$15*F$5 + $E$23*F$5 + ($B$52*(F$4*($B$7^2)+($B$8*F$5))))</f>
        <v>1.1384967098490149</v>
      </c>
      <c r="G15" s="5">
        <f t="shared" si="17"/>
        <v>1.610077487785623</v>
      </c>
      <c r="H15" s="5">
        <f t="shared" si="17"/>
        <v>2.2769934196980297</v>
      </c>
      <c r="I15" s="5">
        <f t="shared" si="17"/>
        <v>3.220154975571246</v>
      </c>
      <c r="J15" s="5">
        <f t="shared" si="17"/>
        <v>4.5539868393960594</v>
      </c>
      <c r="K15" s="5">
        <f t="shared" si="17"/>
        <v>6.4403099511424919</v>
      </c>
      <c r="L15" s="5">
        <f t="shared" si="17"/>
        <v>9.1079736787921188</v>
      </c>
      <c r="M15" s="5">
        <f t="shared" si="17"/>
        <v>12.880619902284984</v>
      </c>
      <c r="N15" s="5">
        <f t="shared" si="17"/>
        <v>18.215947357584238</v>
      </c>
      <c r="O15" s="5">
        <f t="shared" si="17"/>
        <v>25.761239804569968</v>
      </c>
      <c r="P15" s="5">
        <f t="shared" si="17"/>
        <v>36.431894715168475</v>
      </c>
      <c r="Q15" s="5">
        <f t="shared" si="17"/>
        <v>51.522479609139936</v>
      </c>
    </row>
    <row r="16" spans="1:18">
      <c r="A16" t="s">
        <v>6</v>
      </c>
      <c r="B16">
        <v>0.98</v>
      </c>
      <c r="D16" s="1">
        <v>19</v>
      </c>
      <c r="E16" s="6">
        <f t="shared" si="9"/>
        <v>5.1339462739363739</v>
      </c>
      <c r="F16" s="5">
        <f t="shared" ref="F16:Q16" si="18">($E$16*F$5)/SQRT($E$16*F$5 + $E$23*F$5 + ($B$52*(F$4*($B$7^2)+($B$8*F$5))))</f>
        <v>0.45671054496554681</v>
      </c>
      <c r="G16" s="5">
        <f t="shared" si="18"/>
        <v>0.64588624676908357</v>
      </c>
      <c r="H16" s="5">
        <f t="shared" si="18"/>
        <v>0.91342108993109361</v>
      </c>
      <c r="I16" s="5">
        <f t="shared" si="18"/>
        <v>1.2917724935381671</v>
      </c>
      <c r="J16" s="5">
        <f t="shared" si="18"/>
        <v>1.8268421798621872</v>
      </c>
      <c r="K16" s="5">
        <f t="shared" si="18"/>
        <v>2.5835449870763343</v>
      </c>
      <c r="L16" s="5">
        <f t="shared" si="18"/>
        <v>3.6536843597243744</v>
      </c>
      <c r="M16" s="5">
        <f t="shared" si="18"/>
        <v>5.1670899741526686</v>
      </c>
      <c r="N16" s="5">
        <f t="shared" si="18"/>
        <v>7.3073687194487489</v>
      </c>
      <c r="O16" s="5">
        <f t="shared" si="18"/>
        <v>10.334179948305337</v>
      </c>
      <c r="P16" s="5">
        <f t="shared" si="18"/>
        <v>14.614737438897498</v>
      </c>
      <c r="Q16" s="5">
        <f t="shared" si="18"/>
        <v>20.668359896610674</v>
      </c>
    </row>
    <row r="17" spans="1:17">
      <c r="A17" t="s">
        <v>7</v>
      </c>
      <c r="B17">
        <v>5.0000000000000001E-3</v>
      </c>
      <c r="D17" s="1">
        <v>20</v>
      </c>
      <c r="E17" s="6">
        <f t="shared" si="9"/>
        <v>2.0438608248904839</v>
      </c>
      <c r="F17" s="5">
        <f t="shared" ref="F17:Q17" si="19">($E$17*F$5)/SQRT($E$17*F$5 + $E$23*F$5 + ($B$52*(F$4*($B$7^2)+($B$8*F$5))))</f>
        <v>0.18237808170498465</v>
      </c>
      <c r="G17" s="5">
        <f t="shared" si="19"/>
        <v>0.25792155662677779</v>
      </c>
      <c r="H17" s="5">
        <f t="shared" si="19"/>
        <v>0.3647561634099693</v>
      </c>
      <c r="I17" s="5">
        <f t="shared" si="19"/>
        <v>0.51584311325355559</v>
      </c>
      <c r="J17" s="5">
        <f t="shared" si="19"/>
        <v>0.72951232681993861</v>
      </c>
      <c r="K17" s="5">
        <f t="shared" si="19"/>
        <v>1.0316862265071112</v>
      </c>
      <c r="L17" s="5">
        <f t="shared" si="19"/>
        <v>1.4590246536398772</v>
      </c>
      <c r="M17" s="5">
        <f t="shared" si="19"/>
        <v>2.0633724530142223</v>
      </c>
      <c r="N17" s="5">
        <f t="shared" si="19"/>
        <v>2.9180493072797544</v>
      </c>
      <c r="O17" s="5">
        <f t="shared" si="19"/>
        <v>4.1267449060284447</v>
      </c>
      <c r="P17" s="5">
        <f t="shared" si="19"/>
        <v>5.8360986145595088</v>
      </c>
      <c r="Q17" s="5">
        <f t="shared" si="19"/>
        <v>8.2534898120568894</v>
      </c>
    </row>
    <row r="18" spans="1:17">
      <c r="A18" t="s">
        <v>8</v>
      </c>
      <c r="B18">
        <v>4</v>
      </c>
      <c r="D18" s="1">
        <v>21</v>
      </c>
      <c r="E18" s="6">
        <f t="shared" si="9"/>
        <v>0.81367565000228614</v>
      </c>
      <c r="F18" s="5">
        <f>($E$18*F$5)/SQRT($E$18*F$5 + $E$23*F$5 + ($B$52*(F$4*($B$7^2)+($B$8*F$5))))</f>
        <v>7.2695084462262208E-2</v>
      </c>
      <c r="G18" s="5">
        <f t="shared" ref="G18:Q18" si="20">($E$18*G$5)/SQRT($E$18*G$5 + $E$23*G$5 + ($B$52*(G$4*($B$7^2)+($B$8*G$5))))</f>
        <v>0.10280637436438887</v>
      </c>
      <c r="H18" s="5">
        <f t="shared" si="20"/>
        <v>0.14539016892452442</v>
      </c>
      <c r="I18" s="5">
        <f t="shared" si="20"/>
        <v>0.20561274872877774</v>
      </c>
      <c r="J18" s="5">
        <f t="shared" si="20"/>
        <v>0.29078033784904883</v>
      </c>
      <c r="K18" s="5">
        <f t="shared" si="20"/>
        <v>0.41122549745755549</v>
      </c>
      <c r="L18" s="5">
        <f t="shared" si="20"/>
        <v>0.58156067569809766</v>
      </c>
      <c r="M18" s="5">
        <f t="shared" si="20"/>
        <v>0.82245099491511098</v>
      </c>
      <c r="N18" s="5">
        <f t="shared" si="20"/>
        <v>1.1631213513961953</v>
      </c>
      <c r="O18" s="5">
        <f t="shared" si="20"/>
        <v>1.644901989830222</v>
      </c>
      <c r="P18" s="5">
        <f t="shared" si="20"/>
        <v>2.3262427027923906</v>
      </c>
      <c r="Q18" s="5">
        <f t="shared" si="20"/>
        <v>3.2898039796604439</v>
      </c>
    </row>
    <row r="19" spans="1:17">
      <c r="A19" t="s">
        <v>9</v>
      </c>
      <c r="B19">
        <v>0.04</v>
      </c>
      <c r="D19" s="1">
        <v>22</v>
      </c>
      <c r="E19" s="6">
        <f t="shared" si="9"/>
        <v>0.32393011077068684</v>
      </c>
      <c r="F19" s="5">
        <f>($E$19*F$5)/SQRT($E$19*F$5 + $E$23*F$5 + ($B$52*(F$4*($B$7^2)+($B$8*F$5))))</f>
        <v>2.8954586181232402E-2</v>
      </c>
      <c r="G19" s="5">
        <f t="shared" ref="G19:Q19" si="21">($E$19*G$5)/SQRT($E$19*G$5 + $E$23*G$5 + ($B$52*(G$4*($B$7^2)+($B$8*G$5))))</f>
        <v>4.0947968470399464E-2</v>
      </c>
      <c r="H19" s="5">
        <f t="shared" si="21"/>
        <v>5.7909172362464803E-2</v>
      </c>
      <c r="I19" s="5">
        <f t="shared" si="21"/>
        <v>8.1895936940798927E-2</v>
      </c>
      <c r="J19" s="5">
        <f t="shared" si="21"/>
        <v>0.11581834472492961</v>
      </c>
      <c r="K19" s="5">
        <f t="shared" si="21"/>
        <v>0.16379187388159785</v>
      </c>
      <c r="L19" s="5">
        <f t="shared" si="21"/>
        <v>0.23163668944985921</v>
      </c>
      <c r="M19" s="5">
        <f t="shared" si="21"/>
        <v>0.32758374776319571</v>
      </c>
      <c r="N19" s="5">
        <f t="shared" si="21"/>
        <v>0.46327337889971842</v>
      </c>
      <c r="O19" s="5">
        <f t="shared" si="21"/>
        <v>0.65516749552639142</v>
      </c>
      <c r="P19" s="5">
        <f t="shared" si="21"/>
        <v>0.92654675779943685</v>
      </c>
      <c r="Q19" s="5">
        <f t="shared" si="21"/>
        <v>1.3103349910527828</v>
      </c>
    </row>
    <row r="20" spans="1:17">
      <c r="A20" t="s">
        <v>10</v>
      </c>
      <c r="B20">
        <v>1</v>
      </c>
      <c r="D20" s="1">
        <v>23</v>
      </c>
      <c r="E20" s="6">
        <f t="shared" si="9"/>
        <v>0.12895889985599909</v>
      </c>
      <c r="F20" s="5">
        <f>($E$20*F$5)/SQRT($E$20*F$5 + $E$23*F$5 + ($B$52*(F$4*($B$7^2)+($B$8*F$5))))</f>
        <v>1.1529273588403985E-2</v>
      </c>
      <c r="G20" s="5">
        <f t="shared" ref="G20:Q20" si="22">($E$20*G$5)/SQRT($E$20*G$5 + $E$23*G$5 + ($B$52*(G$4*($B$7^2)+($B$8*G$5))))</f>
        <v>1.6304855073030835E-2</v>
      </c>
      <c r="H20" s="5">
        <f t="shared" si="22"/>
        <v>2.305854717680797E-2</v>
      </c>
      <c r="I20" s="5">
        <f t="shared" si="22"/>
        <v>3.260971014606167E-2</v>
      </c>
      <c r="J20" s="5">
        <f t="shared" si="22"/>
        <v>4.6117094353615939E-2</v>
      </c>
      <c r="K20" s="5">
        <f t="shared" si="22"/>
        <v>6.521942029212334E-2</v>
      </c>
      <c r="L20" s="5">
        <f t="shared" si="22"/>
        <v>9.2234188707231879E-2</v>
      </c>
      <c r="M20" s="5">
        <f t="shared" si="22"/>
        <v>0.13043884058424668</v>
      </c>
      <c r="N20" s="5">
        <f t="shared" si="22"/>
        <v>0.18446837741446376</v>
      </c>
      <c r="O20" s="5">
        <f t="shared" si="22"/>
        <v>0.26087768116849336</v>
      </c>
      <c r="P20" s="5">
        <f t="shared" si="22"/>
        <v>0.36893675482892752</v>
      </c>
      <c r="Q20" s="5">
        <f t="shared" si="22"/>
        <v>0.52175536233698672</v>
      </c>
    </row>
    <row r="21" spans="1:17">
      <c r="D21" s="1">
        <v>24</v>
      </c>
      <c r="E21" s="6">
        <f t="shared" si="9"/>
        <v>5.1339462739363621E-2</v>
      </c>
      <c r="F21" s="5">
        <f>($E$21*F$5)/SQRT($E$21*F$5 + $E$23*F$5 + ($B$52*(F$4*($B$7^2)+($B$8*F$5))))</f>
        <v>4.5902424738842353E-3</v>
      </c>
      <c r="G21" s="5">
        <f t="shared" ref="G21:Q21" si="23">($E$21*G$5)/SQRT($E$21*G$5 + $E$23*G$5 + ($B$52*(G$4*($B$7^2)+($B$8*G$5))))</f>
        <v>6.4915831611481135E-3</v>
      </c>
      <c r="H21" s="5">
        <f t="shared" si="23"/>
        <v>9.1804849477684705E-3</v>
      </c>
      <c r="I21" s="5">
        <f t="shared" si="23"/>
        <v>1.2983166322296227E-2</v>
      </c>
      <c r="J21" s="5">
        <f t="shared" si="23"/>
        <v>1.8360969895536941E-2</v>
      </c>
      <c r="K21" s="5">
        <f t="shared" si="23"/>
        <v>2.5966332644592454E-2</v>
      </c>
      <c r="L21" s="5">
        <f t="shared" si="23"/>
        <v>3.6721939791073882E-2</v>
      </c>
      <c r="M21" s="5">
        <f t="shared" si="23"/>
        <v>5.1932665289184908E-2</v>
      </c>
      <c r="N21" s="5">
        <f t="shared" si="23"/>
        <v>7.3443879582147764E-2</v>
      </c>
      <c r="O21" s="5">
        <f t="shared" si="23"/>
        <v>0.10386533057836982</v>
      </c>
      <c r="P21" s="5">
        <f t="shared" si="23"/>
        <v>0.14688775916429553</v>
      </c>
      <c r="Q21" s="5">
        <f t="shared" si="23"/>
        <v>0.20773066115673963</v>
      </c>
    </row>
    <row r="22" spans="1:17">
      <c r="A22" s="1" t="s">
        <v>11</v>
      </c>
      <c r="D22" t="s">
        <v>62</v>
      </c>
      <c r="E22" s="4"/>
      <c r="F22" s="3"/>
      <c r="G22" s="3"/>
      <c r="H22" s="3"/>
      <c r="I22" s="3"/>
      <c r="J22" s="3"/>
    </row>
    <row r="23" spans="1:17">
      <c r="A23" t="s">
        <v>18</v>
      </c>
      <c r="B23" s="2">
        <v>2.3800000000000001E-6</v>
      </c>
      <c r="C23" s="2"/>
      <c r="D23" t="s">
        <v>50</v>
      </c>
      <c r="E23" s="4">
        <f>(((B5*B35)*(B52*B39)^2)/B42) * B11 * B46 * B43 * B48</f>
        <v>337.81879021404137</v>
      </c>
    </row>
    <row r="24" spans="1:17">
      <c r="A24" t="s">
        <v>19</v>
      </c>
      <c r="B24" s="2">
        <v>2.4900000000000002E-7</v>
      </c>
      <c r="C24" s="2"/>
    </row>
    <row r="28" spans="1:17">
      <c r="A28" s="8" t="s">
        <v>57</v>
      </c>
      <c r="B28" s="8"/>
    </row>
    <row r="29" spans="1:17">
      <c r="A29" s="1" t="s">
        <v>31</v>
      </c>
    </row>
    <row r="30" spans="1:17">
      <c r="A30" t="s">
        <v>12</v>
      </c>
      <c r="B30">
        <v>206265</v>
      </c>
    </row>
    <row r="31" spans="1:17">
      <c r="A31" t="s">
        <v>21</v>
      </c>
      <c r="B31">
        <f>1/B30</f>
        <v>4.8481322570479724E-6</v>
      </c>
    </row>
    <row r="32" spans="1:17">
      <c r="A32" s="1" t="s">
        <v>32</v>
      </c>
    </row>
    <row r="33" spans="1:5">
      <c r="A33" t="s">
        <v>23</v>
      </c>
      <c r="B33" s="2">
        <v>6.6259999999999998E-34</v>
      </c>
      <c r="C33" t="s">
        <v>22</v>
      </c>
    </row>
    <row r="34" spans="1:5">
      <c r="A34" t="s">
        <v>24</v>
      </c>
      <c r="B34" s="2">
        <v>300000000</v>
      </c>
      <c r="C34" t="s">
        <v>27</v>
      </c>
    </row>
    <row r="35" spans="1:5">
      <c r="A35" t="s">
        <v>25</v>
      </c>
      <c r="B35" s="2">
        <v>1E-26</v>
      </c>
      <c r="C35" t="s">
        <v>28</v>
      </c>
    </row>
    <row r="36" spans="1:5">
      <c r="A36" t="s">
        <v>34</v>
      </c>
      <c r="B36" s="2">
        <f>3631*B35</f>
        <v>3.6310000000000001E-23</v>
      </c>
      <c r="C36" t="s">
        <v>26</v>
      </c>
    </row>
    <row r="37" spans="1:5">
      <c r="A37" s="1" t="s">
        <v>1</v>
      </c>
    </row>
    <row r="38" spans="1:5">
      <c r="A38" t="s">
        <v>29</v>
      </c>
      <c r="B38" s="2">
        <f>B9/B6</f>
        <v>3.4285714285714284E-5</v>
      </c>
    </row>
    <row r="39" spans="1:5">
      <c r="A39" t="s">
        <v>30</v>
      </c>
      <c r="B39" s="2">
        <f>B38*B30</f>
        <v>7.0719428571428571</v>
      </c>
    </row>
    <row r="40" spans="1:5">
      <c r="A40" s="1" t="s">
        <v>33</v>
      </c>
    </row>
    <row r="41" spans="1:5">
      <c r="A41" t="s">
        <v>36</v>
      </c>
      <c r="B41" s="2">
        <f>B34/B23</f>
        <v>126050420168067.22</v>
      </c>
      <c r="C41" t="s">
        <v>35</v>
      </c>
    </row>
    <row r="42" spans="1:5">
      <c r="A42" t="s">
        <v>37</v>
      </c>
      <c r="B42" s="2">
        <f>B33*B41</f>
        <v>8.3521008403361335E-20</v>
      </c>
      <c r="C42" t="s">
        <v>38</v>
      </c>
    </row>
    <row r="43" spans="1:5">
      <c r="A43" t="s">
        <v>40</v>
      </c>
      <c r="B43" s="2">
        <f>B34 * ((B23-B24/2)^(-1) - (B23+B24/2)^(-1))</f>
        <v>13223814071049.832</v>
      </c>
      <c r="C43" t="s">
        <v>39</v>
      </c>
    </row>
    <row r="44" spans="1:5">
      <c r="A44" s="1" t="s">
        <v>43</v>
      </c>
    </row>
    <row r="45" spans="1:5">
      <c r="A45" t="s">
        <v>53</v>
      </c>
      <c r="B45" s="2">
        <v>8.0000000000000002E-3</v>
      </c>
      <c r="C45" t="s">
        <v>45</v>
      </c>
      <c r="D45" t="s">
        <v>67</v>
      </c>
      <c r="E45" s="2"/>
    </row>
    <row r="46" spans="1:5">
      <c r="A46" t="s">
        <v>54</v>
      </c>
      <c r="B46" s="2">
        <f>(PI()*B12^2)/4 - B45</f>
        <v>4.5092915845667512E-2</v>
      </c>
      <c r="C46" t="s">
        <v>44</v>
      </c>
    </row>
    <row r="47" spans="1:5">
      <c r="A47" t="s">
        <v>41</v>
      </c>
      <c r="B47">
        <f>((1-B17)^B18)*((1-B19)^B20)</f>
        <v>0.94094352059999997</v>
      </c>
    </row>
    <row r="48" spans="1:5">
      <c r="A48" t="s">
        <v>42</v>
      </c>
      <c r="B48">
        <f>B15*B16*B47</f>
        <v>0.87601841767859989</v>
      </c>
      <c r="C48" t="s">
        <v>46</v>
      </c>
    </row>
    <row r="51" spans="1:3">
      <c r="A51" s="1" t="s">
        <v>49</v>
      </c>
      <c r="B51" s="1"/>
    </row>
    <row r="52" spans="1:3">
      <c r="A52" t="s">
        <v>48</v>
      </c>
      <c r="B52">
        <v>1</v>
      </c>
      <c r="C52" t="s">
        <v>55</v>
      </c>
    </row>
    <row r="54" spans="1:3">
      <c r="A54" s="1"/>
    </row>
    <row r="58" spans="1:3">
      <c r="A58" s="1"/>
    </row>
  </sheetData>
  <mergeCells count="3">
    <mergeCell ref="A2:B2"/>
    <mergeCell ref="A28:B28"/>
    <mergeCell ref="F6:Q6"/>
  </mergeCells>
  <conditionalFormatting sqref="E3">
    <cfRule type="cellIs" dxfId="5" priority="19" operator="greaterThan">
      <formula>$E$3</formula>
    </cfRule>
  </conditionalFormatting>
  <conditionalFormatting sqref="F6:Q21">
    <cfRule type="cellIs" dxfId="4" priority="17" operator="lessThan">
      <formula>$E$3</formula>
    </cfRule>
  </conditionalFormatting>
  <conditionalFormatting sqref="F23 F7:Q21">
    <cfRule type="cellIs" dxfId="3" priority="21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C085-F865-5343-9D72-2D200448657F}">
  <dimension ref="A1:R58"/>
  <sheetViews>
    <sheetView tabSelected="1" workbookViewId="0">
      <selection activeCell="C25" sqref="C25"/>
    </sheetView>
  </sheetViews>
  <sheetFormatPr baseColWidth="10" defaultRowHeight="16"/>
  <cols>
    <col min="1" max="1" width="26.5" customWidth="1"/>
    <col min="2" max="2" width="12.1640625" bestFit="1" customWidth="1"/>
    <col min="3" max="3" width="28" customWidth="1"/>
    <col min="4" max="4" width="18.5" customWidth="1"/>
    <col min="5" max="5" width="17.83203125" customWidth="1"/>
  </cols>
  <sheetData>
    <row r="1" spans="1:18">
      <c r="A1" t="s">
        <v>66</v>
      </c>
    </row>
    <row r="2" spans="1:18">
      <c r="A2" s="8" t="s">
        <v>47</v>
      </c>
      <c r="B2" s="8"/>
      <c r="D2" t="s">
        <v>63</v>
      </c>
    </row>
    <row r="3" spans="1:18">
      <c r="A3" s="1" t="s">
        <v>3</v>
      </c>
      <c r="D3" t="s">
        <v>61</v>
      </c>
      <c r="E3" s="4">
        <v>5</v>
      </c>
    </row>
    <row r="4" spans="1:18">
      <c r="A4" t="s">
        <v>60</v>
      </c>
      <c r="B4">
        <v>2</v>
      </c>
      <c r="F4">
        <v>2</v>
      </c>
      <c r="G4">
        <f>F4*2</f>
        <v>4</v>
      </c>
      <c r="H4">
        <f t="shared" ref="H4:Q4" si="0">G4*2</f>
        <v>8</v>
      </c>
      <c r="I4">
        <f t="shared" si="0"/>
        <v>16</v>
      </c>
      <c r="J4">
        <f t="shared" si="0"/>
        <v>32</v>
      </c>
      <c r="K4">
        <f t="shared" si="0"/>
        <v>64</v>
      </c>
      <c r="L4">
        <f t="shared" si="0"/>
        <v>128</v>
      </c>
      <c r="M4">
        <f t="shared" si="0"/>
        <v>256</v>
      </c>
      <c r="N4">
        <f t="shared" si="0"/>
        <v>512</v>
      </c>
      <c r="O4">
        <f t="shared" si="0"/>
        <v>1024</v>
      </c>
      <c r="P4">
        <f t="shared" si="0"/>
        <v>2048</v>
      </c>
      <c r="Q4">
        <f t="shared" si="0"/>
        <v>4096</v>
      </c>
      <c r="R4" t="s">
        <v>56</v>
      </c>
    </row>
    <row r="5" spans="1:18">
      <c r="A5" t="s">
        <v>13</v>
      </c>
      <c r="B5" s="2">
        <v>1.2E-4</v>
      </c>
      <c r="F5" s="7">
        <f>F4*$B$4</f>
        <v>4</v>
      </c>
      <c r="G5" s="7">
        <f t="shared" ref="G5:Q5" si="1">G4*$B$4</f>
        <v>8</v>
      </c>
      <c r="H5" s="7">
        <f t="shared" si="1"/>
        <v>16</v>
      </c>
      <c r="I5" s="7">
        <f t="shared" si="1"/>
        <v>32</v>
      </c>
      <c r="J5" s="7">
        <f t="shared" si="1"/>
        <v>64</v>
      </c>
      <c r="K5" s="7">
        <f t="shared" si="1"/>
        <v>128</v>
      </c>
      <c r="L5" s="7">
        <f t="shared" si="1"/>
        <v>256</v>
      </c>
      <c r="M5" s="7">
        <f t="shared" si="1"/>
        <v>512</v>
      </c>
      <c r="N5" s="7">
        <f t="shared" si="1"/>
        <v>1024</v>
      </c>
      <c r="O5" s="7">
        <f t="shared" si="1"/>
        <v>2048</v>
      </c>
      <c r="P5" s="7">
        <f t="shared" si="1"/>
        <v>4096</v>
      </c>
      <c r="Q5" s="7">
        <f t="shared" si="1"/>
        <v>8192</v>
      </c>
      <c r="R5" s="1" t="s">
        <v>58</v>
      </c>
    </row>
    <row r="6" spans="1:18">
      <c r="A6" s="10" t="s">
        <v>14</v>
      </c>
      <c r="B6" s="10">
        <v>2</v>
      </c>
      <c r="D6" s="1" t="s">
        <v>52</v>
      </c>
      <c r="E6" s="1" t="s">
        <v>51</v>
      </c>
      <c r="F6" s="9" t="s">
        <v>59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8">
      <c r="A7" t="s">
        <v>15</v>
      </c>
      <c r="B7">
        <v>15</v>
      </c>
      <c r="D7" s="1">
        <v>10</v>
      </c>
      <c r="E7" s="6">
        <f>(($B$36*10^(-0.4*D7))/$B$42) * $B$11 * $B$46 * $B$43 * $B$48</f>
        <v>233454.71420707193</v>
      </c>
      <c r="F7" s="5">
        <f t="shared" ref="F7:Q7" si="2">($E$7*F$5)/SQRT($E$7*F$5 + $E$23*F$5 + ($B$52*(F$4*($B$7^2)+($B$8*F$5))))</f>
        <v>965.8372676281889</v>
      </c>
      <c r="G7" s="5">
        <f t="shared" si="2"/>
        <v>1365.9001629251575</v>
      </c>
      <c r="H7" s="5">
        <f t="shared" si="2"/>
        <v>1931.6745352563778</v>
      </c>
      <c r="I7" s="5">
        <f t="shared" si="2"/>
        <v>2731.8003258503149</v>
      </c>
      <c r="J7" s="5">
        <f t="shared" si="2"/>
        <v>3863.3490705127556</v>
      </c>
      <c r="K7" s="5">
        <f t="shared" si="2"/>
        <v>5463.6006517006299</v>
      </c>
      <c r="L7" s="5">
        <f t="shared" si="2"/>
        <v>7726.6981410255112</v>
      </c>
      <c r="M7" s="5">
        <f t="shared" si="2"/>
        <v>10927.20130340126</v>
      </c>
      <c r="N7" s="5">
        <f t="shared" si="2"/>
        <v>15453.396282051022</v>
      </c>
      <c r="O7" s="5">
        <f t="shared" si="2"/>
        <v>21854.40260680252</v>
      </c>
      <c r="P7" s="5">
        <f t="shared" si="2"/>
        <v>30906.792564102045</v>
      </c>
      <c r="Q7" s="5">
        <f t="shared" si="2"/>
        <v>43708.805213605039</v>
      </c>
    </row>
    <row r="8" spans="1:18">
      <c r="A8" t="s">
        <v>16</v>
      </c>
      <c r="B8">
        <v>50</v>
      </c>
      <c r="D8" s="1">
        <v>11</v>
      </c>
      <c r="E8" s="6">
        <f t="shared" ref="E8:E21" si="3">(($B$36*10^(-0.4*D8))/$B$42) * $B$11 * $B$46 * $B$43 * $B$48</f>
        <v>92939.995725352535</v>
      </c>
      <c r="F8" s="5">
        <f t="shared" ref="F8:Q8" si="4">($E$8*F$5)/SQRT($E$8*F$5 + $E$23*F$5 + ($B$52*(F$4*($B$7^2)+($B$8*F$5))))</f>
        <v>608.92060017097185</v>
      </c>
      <c r="G8" s="5">
        <f t="shared" si="4"/>
        <v>861.14377117015317</v>
      </c>
      <c r="H8" s="5">
        <f t="shared" si="4"/>
        <v>1217.8412003419437</v>
      </c>
      <c r="I8" s="5">
        <f t="shared" si="4"/>
        <v>1722.2875423403063</v>
      </c>
      <c r="J8" s="5">
        <f t="shared" si="4"/>
        <v>2435.6824006838874</v>
      </c>
      <c r="K8" s="5">
        <f t="shared" si="4"/>
        <v>3444.5750846806127</v>
      </c>
      <c r="L8" s="5">
        <f t="shared" si="4"/>
        <v>4871.3648013677748</v>
      </c>
      <c r="M8" s="5">
        <f t="shared" si="4"/>
        <v>6889.1501693612254</v>
      </c>
      <c r="N8" s="5">
        <f t="shared" si="4"/>
        <v>9742.7296027355496</v>
      </c>
      <c r="O8" s="5">
        <f t="shared" si="4"/>
        <v>13778.300338722451</v>
      </c>
      <c r="P8" s="5">
        <f t="shared" si="4"/>
        <v>19485.459205471099</v>
      </c>
      <c r="Q8" s="5">
        <f t="shared" si="4"/>
        <v>27556.600677444902</v>
      </c>
    </row>
    <row r="9" spans="1:18">
      <c r="A9" s="10" t="s">
        <v>17</v>
      </c>
      <c r="B9" s="11">
        <v>1.0000000000000001E-5</v>
      </c>
      <c r="D9" s="1">
        <v>12</v>
      </c>
      <c r="E9" s="6">
        <f t="shared" si="3"/>
        <v>37000.078729474226</v>
      </c>
      <c r="F9" s="5">
        <f t="shared" ref="F9:Q9" si="5">($E$9*F$5)/SQRT($E$9*F$5 + $E$23*F$5 + ($B$52*(F$4*($B$7^2)+($B$8*F$5))))</f>
        <v>383.44293643465653</v>
      </c>
      <c r="G9" s="5">
        <f t="shared" si="5"/>
        <v>542.27020110205592</v>
      </c>
      <c r="H9" s="5">
        <f t="shared" si="5"/>
        <v>766.88587286931306</v>
      </c>
      <c r="I9" s="5">
        <f t="shared" si="5"/>
        <v>1084.5404022041118</v>
      </c>
      <c r="J9" s="5">
        <f t="shared" si="5"/>
        <v>1533.7717457386261</v>
      </c>
      <c r="K9" s="5">
        <f t="shared" si="5"/>
        <v>2169.0808044082237</v>
      </c>
      <c r="L9" s="5">
        <f t="shared" si="5"/>
        <v>3067.5434914772522</v>
      </c>
      <c r="M9" s="5">
        <f t="shared" si="5"/>
        <v>4338.1616088164474</v>
      </c>
      <c r="N9" s="5">
        <f t="shared" si="5"/>
        <v>6135.0869829545045</v>
      </c>
      <c r="O9" s="5">
        <f t="shared" si="5"/>
        <v>8676.3232176328947</v>
      </c>
      <c r="P9" s="5">
        <f t="shared" si="5"/>
        <v>12270.173965909009</v>
      </c>
      <c r="Q9" s="5">
        <f t="shared" si="5"/>
        <v>17352.646435265789</v>
      </c>
    </row>
    <row r="10" spans="1:18">
      <c r="A10" s="10" t="s">
        <v>0</v>
      </c>
      <c r="B10" s="12">
        <v>24576</v>
      </c>
      <c r="D10" s="1">
        <v>13</v>
      </c>
      <c r="E10" s="6">
        <f t="shared" si="3"/>
        <v>14729.996653247628</v>
      </c>
      <c r="F10" s="5">
        <f t="shared" ref="F10:Q10" si="6">($E$10*F$5)/SQRT($E$10*F$5 + $E$23*F$5 + ($B$52*(F$4*($B$7^2)+($B$8*F$5))))</f>
        <v>240.74407644059974</v>
      </c>
      <c r="G10" s="5">
        <f t="shared" si="6"/>
        <v>340.46353796328128</v>
      </c>
      <c r="H10" s="5">
        <f t="shared" si="6"/>
        <v>481.48815288119948</v>
      </c>
      <c r="I10" s="5">
        <f t="shared" si="6"/>
        <v>680.92707592656257</v>
      </c>
      <c r="J10" s="5">
        <f t="shared" si="6"/>
        <v>962.97630576239897</v>
      </c>
      <c r="K10" s="5">
        <f t="shared" si="6"/>
        <v>1361.8541518531251</v>
      </c>
      <c r="L10" s="5">
        <f t="shared" si="6"/>
        <v>1925.9526115247979</v>
      </c>
      <c r="M10" s="5">
        <f t="shared" si="6"/>
        <v>2723.7083037062503</v>
      </c>
      <c r="N10" s="5">
        <f t="shared" si="6"/>
        <v>3851.9052230495959</v>
      </c>
      <c r="O10" s="5">
        <f t="shared" si="6"/>
        <v>5447.4166074125005</v>
      </c>
      <c r="P10" s="5">
        <f t="shared" si="6"/>
        <v>7703.8104460991917</v>
      </c>
      <c r="Q10" s="5">
        <f t="shared" si="6"/>
        <v>10894.833214825001</v>
      </c>
    </row>
    <row r="11" spans="1:18">
      <c r="A11" t="s">
        <v>2</v>
      </c>
      <c r="B11">
        <v>0.9</v>
      </c>
      <c r="D11" s="1">
        <v>14</v>
      </c>
      <c r="E11" s="6">
        <f t="shared" si="3"/>
        <v>5864.1172898868999</v>
      </c>
      <c r="F11" s="5">
        <f t="shared" ref="F11:Q11" si="7">($E$11*F$5)/SQRT($E$11*F$5 + $E$23*F$5 + ($B$52*(F$4*($B$7^2)+($B$8*F$5))))</f>
        <v>150.05792500961232</v>
      </c>
      <c r="G11" s="5">
        <f t="shared" si="7"/>
        <v>212.21395269015858</v>
      </c>
      <c r="H11" s="5">
        <f t="shared" si="7"/>
        <v>300.11585001922464</v>
      </c>
      <c r="I11" s="5">
        <f t="shared" si="7"/>
        <v>424.42790538031716</v>
      </c>
      <c r="J11" s="5">
        <f t="shared" si="7"/>
        <v>600.23170003844928</v>
      </c>
      <c r="K11" s="5">
        <f t="shared" si="7"/>
        <v>848.85581076063431</v>
      </c>
      <c r="L11" s="5">
        <f t="shared" si="7"/>
        <v>1200.4634000768986</v>
      </c>
      <c r="M11" s="5">
        <f t="shared" si="7"/>
        <v>1697.7116215212686</v>
      </c>
      <c r="N11" s="5">
        <f t="shared" si="7"/>
        <v>2400.9268001537971</v>
      </c>
      <c r="O11" s="5">
        <f t="shared" si="7"/>
        <v>3395.4232430425373</v>
      </c>
      <c r="P11" s="5">
        <f t="shared" si="7"/>
        <v>4801.8536003075942</v>
      </c>
      <c r="Q11" s="5">
        <f t="shared" si="7"/>
        <v>6790.8464860850745</v>
      </c>
    </row>
    <row r="12" spans="1:18">
      <c r="A12" s="10" t="s">
        <v>20</v>
      </c>
      <c r="B12" s="10">
        <v>1</v>
      </c>
      <c r="D12" s="1">
        <v>15</v>
      </c>
      <c r="E12" s="6">
        <f t="shared" si="3"/>
        <v>2334.547142070719</v>
      </c>
      <c r="F12" s="5">
        <f t="shared" ref="F12:Q12" si="8">($E$12*F$5)/SQRT($E$12*F$5 + $E$23*F$5 + ($B$52*(F$4*($B$7^2)+($B$8*F$5))))</f>
        <v>91.938555871224452</v>
      </c>
      <c r="G12" s="5">
        <f t="shared" si="8"/>
        <v>130.02075261808216</v>
      </c>
      <c r="H12" s="5">
        <f t="shared" si="8"/>
        <v>183.8771117424489</v>
      </c>
      <c r="I12" s="5">
        <f t="shared" si="8"/>
        <v>260.04150523616431</v>
      </c>
      <c r="J12" s="5">
        <f t="shared" si="8"/>
        <v>367.75422348489781</v>
      </c>
      <c r="K12" s="5">
        <f t="shared" si="8"/>
        <v>520.08301047232862</v>
      </c>
      <c r="L12" s="5">
        <f t="shared" si="8"/>
        <v>735.50844696979561</v>
      </c>
      <c r="M12" s="5">
        <f t="shared" si="8"/>
        <v>1040.1660209446572</v>
      </c>
      <c r="N12" s="5">
        <f t="shared" si="8"/>
        <v>1471.0168939395912</v>
      </c>
      <c r="O12" s="5">
        <f t="shared" si="8"/>
        <v>2080.3320418893145</v>
      </c>
      <c r="P12" s="5">
        <f t="shared" si="8"/>
        <v>2942.0337878791825</v>
      </c>
      <c r="Q12" s="5">
        <f t="shared" si="8"/>
        <v>4160.664083778629</v>
      </c>
    </row>
    <row r="13" spans="1:18">
      <c r="D13" s="1">
        <v>16</v>
      </c>
      <c r="E13" s="6">
        <f t="shared" si="3"/>
        <v>929.39995725352492</v>
      </c>
      <c r="F13" s="5">
        <f t="shared" ref="F13:Q13" si="9">($E$13*F$5)/SQRT($E$13*F$5 + $E$23*F$5 + ($B$52*(F$4*($B$7^2)+($B$8*F$5))))</f>
        <v>54.250706706882617</v>
      </c>
      <c r="G13" s="5">
        <f t="shared" si="9"/>
        <v>76.722085193198424</v>
      </c>
      <c r="H13" s="5">
        <f t="shared" si="9"/>
        <v>108.50141341376523</v>
      </c>
      <c r="I13" s="5">
        <f t="shared" si="9"/>
        <v>153.44417038639685</v>
      </c>
      <c r="J13" s="5">
        <f t="shared" si="9"/>
        <v>217.00282682753047</v>
      </c>
      <c r="K13" s="5">
        <f t="shared" si="9"/>
        <v>306.8883407727937</v>
      </c>
      <c r="L13" s="5">
        <f t="shared" si="9"/>
        <v>434.00565365506094</v>
      </c>
      <c r="M13" s="5">
        <f t="shared" si="9"/>
        <v>613.77668154558739</v>
      </c>
      <c r="N13" s="5">
        <f t="shared" si="9"/>
        <v>868.01130731012188</v>
      </c>
      <c r="O13" s="5">
        <f t="shared" si="9"/>
        <v>1227.5533630911748</v>
      </c>
      <c r="P13" s="5">
        <f t="shared" si="9"/>
        <v>1736.0226146202438</v>
      </c>
      <c r="Q13" s="5">
        <f t="shared" si="9"/>
        <v>2455.1067261823496</v>
      </c>
    </row>
    <row r="14" spans="1:18">
      <c r="A14" s="1" t="s">
        <v>4</v>
      </c>
      <c r="D14" s="1">
        <v>17</v>
      </c>
      <c r="E14" s="6">
        <f t="shared" si="3"/>
        <v>370.00078729474217</v>
      </c>
      <c r="F14" s="5">
        <f t="shared" ref="F14:Q14" si="10">($E$14*F$5)/SQRT($E$14*F$5 + $E$23*F$5 + ($B$52*(F$4*($B$7^2)+($B$8*F$5))))</f>
        <v>29.850325472932475</v>
      </c>
      <c r="G14" s="5">
        <f t="shared" si="10"/>
        <v>42.214735125072174</v>
      </c>
      <c r="H14" s="5">
        <f t="shared" si="10"/>
        <v>59.70065094586495</v>
      </c>
      <c r="I14" s="5">
        <f t="shared" si="10"/>
        <v>84.429470250144348</v>
      </c>
      <c r="J14" s="5">
        <f t="shared" si="10"/>
        <v>119.4013018917299</v>
      </c>
      <c r="K14" s="5">
        <f t="shared" si="10"/>
        <v>168.8589405002887</v>
      </c>
      <c r="L14" s="5">
        <f t="shared" si="10"/>
        <v>238.8026037834598</v>
      </c>
      <c r="M14" s="5">
        <f t="shared" si="10"/>
        <v>337.71788100057739</v>
      </c>
      <c r="N14" s="5">
        <f t="shared" si="10"/>
        <v>477.6052075669196</v>
      </c>
      <c r="O14" s="5">
        <f t="shared" si="10"/>
        <v>675.43576200115479</v>
      </c>
      <c r="P14" s="5">
        <f t="shared" si="10"/>
        <v>955.21041513383921</v>
      </c>
      <c r="Q14" s="5">
        <f t="shared" si="10"/>
        <v>1350.8715240023096</v>
      </c>
    </row>
    <row r="15" spans="1:18">
      <c r="A15" t="s">
        <v>5</v>
      </c>
      <c r="B15">
        <v>0.95</v>
      </c>
      <c r="D15" s="1">
        <v>18</v>
      </c>
      <c r="E15" s="6">
        <f t="shared" si="3"/>
        <v>147.29996653247619</v>
      </c>
      <c r="F15" s="5">
        <f t="shared" ref="F15:Q15" si="11">($E$15*F$5)/SQRT($E$15*F$5 + $E$23*F$5 + ($B$52*(F$4*($B$7^2)+($B$8*F$5))))</f>
        <v>14.882140210066558</v>
      </c>
      <c r="G15" s="5">
        <f t="shared" si="11"/>
        <v>21.046524522214106</v>
      </c>
      <c r="H15" s="5">
        <f t="shared" si="11"/>
        <v>29.764280420133115</v>
      </c>
      <c r="I15" s="5">
        <f t="shared" si="11"/>
        <v>42.093049044428213</v>
      </c>
      <c r="J15" s="5">
        <f t="shared" si="11"/>
        <v>59.528560840266231</v>
      </c>
      <c r="K15" s="5">
        <f t="shared" si="11"/>
        <v>84.186098088856426</v>
      </c>
      <c r="L15" s="5">
        <f t="shared" si="11"/>
        <v>119.05712168053246</v>
      </c>
      <c r="M15" s="5">
        <f t="shared" si="11"/>
        <v>168.37219617771285</v>
      </c>
      <c r="N15" s="5">
        <f t="shared" si="11"/>
        <v>238.11424336106492</v>
      </c>
      <c r="O15" s="5">
        <f t="shared" si="11"/>
        <v>336.7443923554257</v>
      </c>
      <c r="P15" s="5">
        <f t="shared" si="11"/>
        <v>476.22848672212984</v>
      </c>
      <c r="Q15" s="5">
        <f t="shared" si="11"/>
        <v>673.48878471085141</v>
      </c>
    </row>
    <row r="16" spans="1:18">
      <c r="A16" t="s">
        <v>6</v>
      </c>
      <c r="B16">
        <v>0.98</v>
      </c>
      <c r="D16" s="1">
        <v>19</v>
      </c>
      <c r="E16" s="6">
        <f t="shared" si="3"/>
        <v>58.641172898868973</v>
      </c>
      <c r="F16" s="5">
        <f t="shared" ref="F16:Q16" si="12">($E$16*F$5)/SQRT($E$16*F$5 + $E$23*F$5 + ($B$52*(F$4*($B$7^2)+($B$8*F$5))))</f>
        <v>6.7354229838665303</v>
      </c>
      <c r="G16" s="5">
        <f t="shared" si="12"/>
        <v>9.5253265321035077</v>
      </c>
      <c r="H16" s="5">
        <f t="shared" si="12"/>
        <v>13.470845967733061</v>
      </c>
      <c r="I16" s="5">
        <f t="shared" si="12"/>
        <v>19.050653064207015</v>
      </c>
      <c r="J16" s="5">
        <f t="shared" si="12"/>
        <v>26.941691935466121</v>
      </c>
      <c r="K16" s="5">
        <f t="shared" si="12"/>
        <v>38.101306128414031</v>
      </c>
      <c r="L16" s="5">
        <f t="shared" si="12"/>
        <v>53.883383870932242</v>
      </c>
      <c r="M16" s="5">
        <f t="shared" si="12"/>
        <v>76.202612256828061</v>
      </c>
      <c r="N16" s="5">
        <f t="shared" si="12"/>
        <v>107.76676774186448</v>
      </c>
      <c r="O16" s="5">
        <f t="shared" si="12"/>
        <v>152.40522451365612</v>
      </c>
      <c r="P16" s="5">
        <f t="shared" si="12"/>
        <v>215.53353548372897</v>
      </c>
      <c r="Q16" s="5">
        <f t="shared" si="12"/>
        <v>304.81044902731225</v>
      </c>
    </row>
    <row r="17" spans="1:17">
      <c r="A17" t="s">
        <v>7</v>
      </c>
      <c r="B17">
        <v>5.0000000000000001E-3</v>
      </c>
      <c r="D17" s="1">
        <v>20</v>
      </c>
      <c r="E17" s="6">
        <f t="shared" si="3"/>
        <v>23.345471420707195</v>
      </c>
      <c r="F17" s="5">
        <f t="shared" ref="F17:Q17" si="13">($E$17*F$5)/SQRT($E$17*F$5 + $E$23*F$5 + ($B$52*(F$4*($B$7^2)+($B$8*F$5))))</f>
        <v>2.8525890734053436</v>
      </c>
      <c r="G17" s="5">
        <f t="shared" si="13"/>
        <v>4.0341701554871374</v>
      </c>
      <c r="H17" s="5">
        <f t="shared" si="13"/>
        <v>5.7051781468106872</v>
      </c>
      <c r="I17" s="5">
        <f t="shared" si="13"/>
        <v>8.0683403109742748</v>
      </c>
      <c r="J17" s="5">
        <f t="shared" si="13"/>
        <v>11.410356293621374</v>
      </c>
      <c r="K17" s="5">
        <f t="shared" si="13"/>
        <v>16.13668062194855</v>
      </c>
      <c r="L17" s="5">
        <f t="shared" si="13"/>
        <v>22.820712587242749</v>
      </c>
      <c r="M17" s="5">
        <f t="shared" si="13"/>
        <v>32.273361243897099</v>
      </c>
      <c r="N17" s="5">
        <f t="shared" si="13"/>
        <v>45.641425174485498</v>
      </c>
      <c r="O17" s="5">
        <f t="shared" si="13"/>
        <v>64.546722487794199</v>
      </c>
      <c r="P17" s="5">
        <f t="shared" si="13"/>
        <v>91.282850348970996</v>
      </c>
      <c r="Q17" s="5">
        <f t="shared" si="13"/>
        <v>129.0934449755884</v>
      </c>
    </row>
    <row r="18" spans="1:17">
      <c r="A18" t="s">
        <v>8</v>
      </c>
      <c r="B18">
        <v>4</v>
      </c>
      <c r="D18" s="1">
        <v>21</v>
      </c>
      <c r="E18" s="6">
        <f t="shared" si="3"/>
        <v>9.2939995725352613</v>
      </c>
      <c r="F18" s="5">
        <f>($E$18*F$5)/SQRT($E$18*F$5 + $E$23*F$5 + ($B$52*(F$4*($B$7^2)+($B$8*F$5))))</f>
        <v>1.1666426649273542</v>
      </c>
      <c r="G18" s="5">
        <f t="shared" ref="G18:Q18" si="14">($E$18*G$5)/SQRT($E$18*G$5 + $E$23*G$5 + ($B$52*(G$4*($B$7^2)+($B$8*G$5))))</f>
        <v>1.6498818791833545</v>
      </c>
      <c r="H18" s="5">
        <f t="shared" si="14"/>
        <v>2.3332853298547085</v>
      </c>
      <c r="I18" s="5">
        <f t="shared" si="14"/>
        <v>3.299763758366709</v>
      </c>
      <c r="J18" s="5">
        <f t="shared" si="14"/>
        <v>4.666570659709417</v>
      </c>
      <c r="K18" s="5">
        <f t="shared" si="14"/>
        <v>6.599527516733418</v>
      </c>
      <c r="L18" s="5">
        <f t="shared" si="14"/>
        <v>9.333141319418834</v>
      </c>
      <c r="M18" s="5">
        <f t="shared" si="14"/>
        <v>13.199055033466836</v>
      </c>
      <c r="N18" s="5">
        <f t="shared" si="14"/>
        <v>18.666282638837668</v>
      </c>
      <c r="O18" s="5">
        <f t="shared" si="14"/>
        <v>26.398110066933672</v>
      </c>
      <c r="P18" s="5">
        <f t="shared" si="14"/>
        <v>37.332565277675336</v>
      </c>
      <c r="Q18" s="5">
        <f t="shared" si="14"/>
        <v>52.796220133867344</v>
      </c>
    </row>
    <row r="19" spans="1:17">
      <c r="A19" t="s">
        <v>9</v>
      </c>
      <c r="B19">
        <v>0.04</v>
      </c>
      <c r="D19" s="1">
        <v>22</v>
      </c>
      <c r="E19" s="6">
        <f t="shared" si="3"/>
        <v>3.7000078729474137</v>
      </c>
      <c r="F19" s="5">
        <f>($E$19*F$5)/SQRT($E$19*F$5 + $E$23*F$5 + ($B$52*(F$4*($B$7^2)+($B$8*F$5))))</f>
        <v>0.46965225816029088</v>
      </c>
      <c r="G19" s="5">
        <f t="shared" ref="G19:Q19" si="15">($E$19*G$5)/SQRT($E$19*G$5 + $E$23*G$5 + ($B$52*(G$4*($B$7^2)+($B$8*G$5))))</f>
        <v>0.66418859308943345</v>
      </c>
      <c r="H19" s="5">
        <f t="shared" si="15"/>
        <v>0.93930451632058176</v>
      </c>
      <c r="I19" s="5">
        <f t="shared" si="15"/>
        <v>1.3283771861788669</v>
      </c>
      <c r="J19" s="5">
        <f t="shared" si="15"/>
        <v>1.8786090326411635</v>
      </c>
      <c r="K19" s="5">
        <f t="shared" si="15"/>
        <v>2.6567543723577338</v>
      </c>
      <c r="L19" s="5">
        <f t="shared" si="15"/>
        <v>3.757218065282327</v>
      </c>
      <c r="M19" s="5">
        <f t="shared" si="15"/>
        <v>5.3135087447154676</v>
      </c>
      <c r="N19" s="5">
        <f t="shared" si="15"/>
        <v>7.5144361305646541</v>
      </c>
      <c r="O19" s="5">
        <f t="shared" si="15"/>
        <v>10.627017489430935</v>
      </c>
      <c r="P19" s="5">
        <f t="shared" si="15"/>
        <v>15.028872261129308</v>
      </c>
      <c r="Q19" s="5">
        <f t="shared" si="15"/>
        <v>21.254034978861871</v>
      </c>
    </row>
    <row r="20" spans="1:17">
      <c r="A20" t="s">
        <v>10</v>
      </c>
      <c r="B20">
        <v>1</v>
      </c>
      <c r="D20" s="1">
        <v>23</v>
      </c>
      <c r="E20" s="6">
        <f t="shared" si="3"/>
        <v>1.4729996653247588</v>
      </c>
      <c r="F20" s="5">
        <f>($E$20*F$5)/SQRT($E$20*F$5 + $E$23*F$5 + ($B$52*(F$4*($B$7^2)+($B$8*F$5))))</f>
        <v>0.18781621784002422</v>
      </c>
      <c r="G20" s="5">
        <f t="shared" ref="G20:Q20" si="16">($E$20*G$5)/SQRT($E$20*G$5 + $E$23*G$5 + ($B$52*(G$4*($B$7^2)+($B$8*G$5))))</f>
        <v>0.26561224250298193</v>
      </c>
      <c r="H20" s="5">
        <f t="shared" si="16"/>
        <v>0.37563243568004845</v>
      </c>
      <c r="I20" s="5">
        <f t="shared" si="16"/>
        <v>0.53122448500596386</v>
      </c>
      <c r="J20" s="5">
        <f t="shared" si="16"/>
        <v>0.7512648713600969</v>
      </c>
      <c r="K20" s="5">
        <f t="shared" si="16"/>
        <v>1.0624489700119277</v>
      </c>
      <c r="L20" s="5">
        <f t="shared" si="16"/>
        <v>1.5025297427201938</v>
      </c>
      <c r="M20" s="5">
        <f t="shared" si="16"/>
        <v>2.1248979400238555</v>
      </c>
      <c r="N20" s="5">
        <f t="shared" si="16"/>
        <v>3.0050594854403876</v>
      </c>
      <c r="O20" s="5">
        <f t="shared" si="16"/>
        <v>4.2497958800477109</v>
      </c>
      <c r="P20" s="5">
        <f t="shared" si="16"/>
        <v>6.0101189708807752</v>
      </c>
      <c r="Q20" s="5">
        <f t="shared" si="16"/>
        <v>8.4995917600954218</v>
      </c>
    </row>
    <row r="21" spans="1:17">
      <c r="D21" s="1">
        <v>24</v>
      </c>
      <c r="E21" s="6">
        <f t="shared" si="3"/>
        <v>0.58641172898868832</v>
      </c>
      <c r="F21" s="5">
        <f>($E$21*F$5)/SQRT($E$21*F$5 + $E$23*F$5 + ($B$52*(F$4*($B$7^2)+($B$8*F$5))))</f>
        <v>7.4906066311703323E-2</v>
      </c>
      <c r="G21" s="5">
        <f t="shared" ref="G21:Q21" si="17">($E$21*G$5)/SQRT($E$21*G$5 + $E$23*G$5 + ($B$52*(G$4*($B$7^2)+($B$8*G$5))))</f>
        <v>0.10593317488202925</v>
      </c>
      <c r="H21" s="5">
        <f t="shared" si="17"/>
        <v>0.14981213262340665</v>
      </c>
      <c r="I21" s="5">
        <f t="shared" si="17"/>
        <v>0.21186634976405849</v>
      </c>
      <c r="J21" s="5">
        <f t="shared" si="17"/>
        <v>0.29962426524681329</v>
      </c>
      <c r="K21" s="5">
        <f t="shared" si="17"/>
        <v>0.42373269952811699</v>
      </c>
      <c r="L21" s="5">
        <f t="shared" si="17"/>
        <v>0.59924853049362659</v>
      </c>
      <c r="M21" s="5">
        <f t="shared" si="17"/>
        <v>0.84746539905623397</v>
      </c>
      <c r="N21" s="5">
        <f t="shared" si="17"/>
        <v>1.1984970609872532</v>
      </c>
      <c r="O21" s="5">
        <f t="shared" si="17"/>
        <v>1.6949307981124679</v>
      </c>
      <c r="P21" s="5">
        <f t="shared" si="17"/>
        <v>2.3969941219745063</v>
      </c>
      <c r="Q21" s="5">
        <f t="shared" si="17"/>
        <v>3.3898615962249359</v>
      </c>
    </row>
    <row r="22" spans="1:17">
      <c r="A22" s="1" t="s">
        <v>11</v>
      </c>
      <c r="D22" t="s">
        <v>62</v>
      </c>
      <c r="E22" s="4"/>
      <c r="F22" s="3"/>
      <c r="G22" s="3"/>
      <c r="H22" s="3"/>
      <c r="I22" s="3"/>
      <c r="J22" s="3"/>
    </row>
    <row r="23" spans="1:17">
      <c r="A23" t="s">
        <v>18</v>
      </c>
      <c r="B23" s="2">
        <v>2.3800000000000001E-6</v>
      </c>
      <c r="C23" s="2"/>
      <c r="D23" t="s">
        <v>50</v>
      </c>
      <c r="E23" s="4">
        <f>(((B5*B35)*(B52*B39)^2)/B42) * B11 * B46 * B43 * B48</f>
        <v>82.063254465539018</v>
      </c>
    </row>
    <row r="24" spans="1:17">
      <c r="A24" t="s">
        <v>19</v>
      </c>
      <c r="B24" s="2">
        <v>2.4900000000000002E-7</v>
      </c>
      <c r="C24" s="2"/>
    </row>
    <row r="28" spans="1:17">
      <c r="A28" s="8" t="s">
        <v>57</v>
      </c>
      <c r="B28" s="8"/>
    </row>
    <row r="29" spans="1:17">
      <c r="A29" s="1" t="s">
        <v>31</v>
      </c>
    </row>
    <row r="30" spans="1:17">
      <c r="A30" t="s">
        <v>12</v>
      </c>
      <c r="B30">
        <v>206265</v>
      </c>
    </row>
    <row r="31" spans="1:17">
      <c r="A31" t="s">
        <v>21</v>
      </c>
      <c r="B31">
        <f>1/B30</f>
        <v>4.8481322570479724E-6</v>
      </c>
    </row>
    <row r="32" spans="1:17">
      <c r="A32" s="1" t="s">
        <v>32</v>
      </c>
    </row>
    <row r="33" spans="1:6">
      <c r="A33" t="s">
        <v>23</v>
      </c>
      <c r="B33" s="2">
        <v>6.6259999999999998E-34</v>
      </c>
      <c r="C33" t="s">
        <v>22</v>
      </c>
    </row>
    <row r="34" spans="1:6">
      <c r="A34" t="s">
        <v>24</v>
      </c>
      <c r="B34" s="2">
        <v>300000000</v>
      </c>
      <c r="C34" t="s">
        <v>27</v>
      </c>
    </row>
    <row r="35" spans="1:6">
      <c r="A35" t="s">
        <v>25</v>
      </c>
      <c r="B35" s="2">
        <v>1E-26</v>
      </c>
      <c r="C35" t="s">
        <v>28</v>
      </c>
    </row>
    <row r="36" spans="1:6">
      <c r="A36" t="s">
        <v>34</v>
      </c>
      <c r="B36" s="2">
        <f>3631*B35</f>
        <v>3.6310000000000001E-23</v>
      </c>
      <c r="C36" t="s">
        <v>26</v>
      </c>
    </row>
    <row r="37" spans="1:6">
      <c r="A37" s="1" t="s">
        <v>1</v>
      </c>
    </row>
    <row r="38" spans="1:6">
      <c r="A38" t="s">
        <v>29</v>
      </c>
      <c r="B38" s="2">
        <f>B9/B6</f>
        <v>5.0000000000000004E-6</v>
      </c>
    </row>
    <row r="39" spans="1:6">
      <c r="A39" t="s">
        <v>30</v>
      </c>
      <c r="B39" s="2">
        <f>B38*B30</f>
        <v>1.031325</v>
      </c>
    </row>
    <row r="40" spans="1:6">
      <c r="A40" s="1" t="s">
        <v>33</v>
      </c>
    </row>
    <row r="41" spans="1:6">
      <c r="A41" t="s">
        <v>36</v>
      </c>
      <c r="B41" s="2">
        <f>B34/B23</f>
        <v>126050420168067.22</v>
      </c>
      <c r="C41" t="s">
        <v>35</v>
      </c>
    </row>
    <row r="42" spans="1:6">
      <c r="A42" t="s">
        <v>37</v>
      </c>
      <c r="B42" s="2">
        <f>B33*B41</f>
        <v>8.3521008403361335E-20</v>
      </c>
      <c r="C42" t="s">
        <v>38</v>
      </c>
    </row>
    <row r="43" spans="1:6">
      <c r="A43" t="s">
        <v>40</v>
      </c>
      <c r="B43" s="2">
        <f>B34 * ((B23-B24/2)^(-1) - (B23+B24/2)^(-1))</f>
        <v>13223814071049.832</v>
      </c>
      <c r="C43" t="s">
        <v>39</v>
      </c>
      <c r="E43" s="2"/>
      <c r="F43" s="2"/>
    </row>
    <row r="44" spans="1:6">
      <c r="A44" s="1" t="s">
        <v>43</v>
      </c>
      <c r="E44" s="2"/>
    </row>
    <row r="45" spans="1:6">
      <c r="A45" s="10" t="s">
        <v>53</v>
      </c>
      <c r="B45" s="11">
        <f>B10*B9*1.1</f>
        <v>0.27033600000000008</v>
      </c>
      <c r="C45" s="10" t="s">
        <v>45</v>
      </c>
      <c r="D45" t="s">
        <v>64</v>
      </c>
      <c r="E45" s="2"/>
    </row>
    <row r="46" spans="1:6">
      <c r="A46" t="s">
        <v>54</v>
      </c>
      <c r="B46" s="2">
        <f>(PI()*B12^2)/4 - B45</f>
        <v>0.51506216339744815</v>
      </c>
      <c r="C46" t="s">
        <v>44</v>
      </c>
    </row>
    <row r="47" spans="1:6">
      <c r="A47" t="s">
        <v>41</v>
      </c>
      <c r="B47">
        <f>((1-B17)^B18)*((1-B19)^B20)</f>
        <v>0.94094352059999997</v>
      </c>
    </row>
    <row r="48" spans="1:6">
      <c r="A48" t="s">
        <v>42</v>
      </c>
      <c r="B48">
        <f>B15*B16*B47</f>
        <v>0.87601841767859989</v>
      </c>
      <c r="C48" t="s">
        <v>46</v>
      </c>
    </row>
    <row r="51" spans="1:3">
      <c r="A51" s="1" t="s">
        <v>49</v>
      </c>
      <c r="B51" s="1"/>
    </row>
    <row r="52" spans="1:3">
      <c r="A52" t="s">
        <v>48</v>
      </c>
      <c r="B52">
        <v>1</v>
      </c>
      <c r="C52" t="s">
        <v>55</v>
      </c>
    </row>
    <row r="54" spans="1:3">
      <c r="A54" s="1"/>
    </row>
    <row r="58" spans="1:3">
      <c r="A58" s="1"/>
    </row>
  </sheetData>
  <mergeCells count="3">
    <mergeCell ref="A2:B2"/>
    <mergeCell ref="F6:Q6"/>
    <mergeCell ref="A28:B28"/>
  </mergeCells>
  <conditionalFormatting sqref="E3">
    <cfRule type="cellIs" dxfId="2" priority="2" operator="greaterThan">
      <formula>$E$3</formula>
    </cfRule>
  </conditionalFormatting>
  <conditionalFormatting sqref="F6:Q21">
    <cfRule type="cellIs" dxfId="1" priority="1" operator="lessThan">
      <formula>$E$3</formula>
    </cfRule>
  </conditionalFormatting>
  <conditionalFormatting sqref="F23 F7:Q21">
    <cfRule type="cellIs" dxfId="0" priority="3" operator="greaterThan">
      <formula>$E$3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</vt:lpstr>
      <vt:lpstr>Full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2023-07-04T17:04:53Z</dcterms:created>
  <dcterms:modified xsi:type="dcterms:W3CDTF">2023-09-14T01:14:45Z</dcterms:modified>
</cp:coreProperties>
</file>