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rleyn138/Library/CloudStorage/Box-Box/cryoscope/projects/etc/"/>
    </mc:Choice>
  </mc:AlternateContent>
  <xr:revisionPtr revIDLastSave="0" documentId="13_ncr:1_{9B7D5226-120E-AF4C-B7FD-B389CCCA6DF4}" xr6:coauthVersionLast="47" xr6:coauthVersionMax="47" xr10:uidLastSave="{00000000-0000-0000-0000-000000000000}"/>
  <bookViews>
    <workbookView xWindow="1980" yWindow="500" windowWidth="27640" windowHeight="15940" xr2:uid="{BB288948-5939-FC46-83E2-B7EB5588CF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G19" i="1"/>
  <c r="H19" i="1"/>
  <c r="I19" i="1"/>
  <c r="J19" i="1"/>
  <c r="K19" i="1"/>
  <c r="L19" i="1"/>
  <c r="M19" i="1"/>
  <c r="N19" i="1"/>
  <c r="O19" i="1"/>
  <c r="P19" i="1"/>
  <c r="Q19" i="1"/>
  <c r="G18" i="1"/>
  <c r="H18" i="1"/>
  <c r="I18" i="1"/>
  <c r="J18" i="1"/>
  <c r="K18" i="1"/>
  <c r="L18" i="1"/>
  <c r="M18" i="1"/>
  <c r="N18" i="1"/>
  <c r="O18" i="1"/>
  <c r="P18" i="1"/>
  <c r="Q18" i="1"/>
  <c r="F18" i="1"/>
  <c r="E19" i="1"/>
  <c r="E18" i="1"/>
  <c r="G4" i="1" l="1"/>
  <c r="H4" i="1" s="1"/>
  <c r="I4" i="1" s="1"/>
  <c r="F5" i="1"/>
  <c r="B47" i="1"/>
  <c r="B48" i="1" s="1"/>
  <c r="B45" i="1"/>
  <c r="B46" i="1" s="1"/>
  <c r="B43" i="1"/>
  <c r="B41" i="1"/>
  <c r="B42" i="1" s="1"/>
  <c r="B38" i="1"/>
  <c r="B39" i="1" s="1"/>
  <c r="B36" i="1"/>
  <c r="B31" i="1"/>
  <c r="G5" i="1" l="1"/>
  <c r="E23" i="1"/>
  <c r="I5" i="1"/>
  <c r="J4" i="1"/>
  <c r="H5" i="1"/>
  <c r="E16" i="1"/>
  <c r="E14" i="1"/>
  <c r="E12" i="1"/>
  <c r="E17" i="1"/>
  <c r="E8" i="1"/>
  <c r="E15" i="1"/>
  <c r="E13" i="1"/>
  <c r="E11" i="1"/>
  <c r="E7" i="1"/>
  <c r="E10" i="1"/>
  <c r="E9" i="1"/>
  <c r="G17" i="1" l="1"/>
  <c r="F17" i="1"/>
  <c r="H17" i="1"/>
  <c r="I17" i="1"/>
  <c r="H12" i="1"/>
  <c r="I12" i="1"/>
  <c r="G12" i="1"/>
  <c r="F12" i="1"/>
  <c r="G7" i="1"/>
  <c r="H7" i="1"/>
  <c r="I7" i="1"/>
  <c r="F7" i="1"/>
  <c r="G9" i="1"/>
  <c r="H9" i="1"/>
  <c r="I9" i="1"/>
  <c r="F9" i="1"/>
  <c r="H10" i="1"/>
  <c r="I10" i="1"/>
  <c r="F10" i="1"/>
  <c r="G10" i="1"/>
  <c r="G14" i="1"/>
  <c r="H14" i="1"/>
  <c r="I14" i="1"/>
  <c r="F14" i="1"/>
  <c r="F16" i="1"/>
  <c r="G16" i="1"/>
  <c r="H16" i="1"/>
  <c r="I16" i="1"/>
  <c r="G11" i="1"/>
  <c r="H11" i="1"/>
  <c r="I11" i="1"/>
  <c r="F11" i="1"/>
  <c r="G13" i="1"/>
  <c r="F13" i="1"/>
  <c r="H13" i="1"/>
  <c r="I13" i="1"/>
  <c r="I15" i="1"/>
  <c r="F15" i="1"/>
  <c r="G15" i="1"/>
  <c r="H15" i="1"/>
  <c r="G8" i="1"/>
  <c r="I8" i="1"/>
  <c r="F8" i="1"/>
  <c r="H8" i="1"/>
  <c r="J5" i="1"/>
  <c r="J17" i="1" s="1"/>
  <c r="K4" i="1"/>
  <c r="J14" i="1" l="1"/>
  <c r="J7" i="1"/>
  <c r="J15" i="1"/>
  <c r="J13" i="1"/>
  <c r="J11" i="1"/>
  <c r="J9" i="1"/>
  <c r="J8" i="1"/>
  <c r="J16" i="1"/>
  <c r="J10" i="1"/>
  <c r="J12" i="1"/>
  <c r="L4" i="1"/>
  <c r="K5" i="1"/>
  <c r="M4" i="1" l="1"/>
  <c r="L5" i="1"/>
  <c r="K13" i="1"/>
  <c r="K8" i="1"/>
  <c r="K10" i="1"/>
  <c r="K14" i="1"/>
  <c r="K16" i="1"/>
  <c r="K17" i="1"/>
  <c r="K12" i="1"/>
  <c r="K9" i="1"/>
  <c r="K7" i="1"/>
  <c r="K11" i="1"/>
  <c r="K15" i="1"/>
  <c r="L16" i="1" l="1"/>
  <c r="L13" i="1"/>
  <c r="L15" i="1"/>
  <c r="L9" i="1"/>
  <c r="L8" i="1"/>
  <c r="L10" i="1"/>
  <c r="L12" i="1"/>
  <c r="L7" i="1"/>
  <c r="L14" i="1"/>
  <c r="L17" i="1"/>
  <c r="L11" i="1"/>
  <c r="N4" i="1"/>
  <c r="M5" i="1"/>
  <c r="M17" i="1" l="1"/>
  <c r="M13" i="1"/>
  <c r="M15" i="1"/>
  <c r="M8" i="1"/>
  <c r="M11" i="1"/>
  <c r="M12" i="1"/>
  <c r="M7" i="1"/>
  <c r="M16" i="1"/>
  <c r="M10" i="1"/>
  <c r="M9" i="1"/>
  <c r="M14" i="1"/>
  <c r="O4" i="1"/>
  <c r="N5" i="1"/>
  <c r="N15" i="1" l="1"/>
  <c r="N14" i="1"/>
  <c r="N7" i="1"/>
  <c r="N16" i="1"/>
  <c r="N13" i="1"/>
  <c r="N12" i="1"/>
  <c r="N11" i="1"/>
  <c r="N10" i="1"/>
  <c r="N8" i="1"/>
  <c r="N17" i="1"/>
  <c r="N9" i="1"/>
  <c r="P4" i="1"/>
  <c r="O5" i="1"/>
  <c r="Q4" i="1" l="1"/>
  <c r="Q5" i="1" s="1"/>
  <c r="P5" i="1"/>
  <c r="O10" i="1"/>
  <c r="O16" i="1"/>
  <c r="O13" i="1"/>
  <c r="O8" i="1"/>
  <c r="O17" i="1"/>
  <c r="O7" i="1"/>
  <c r="O9" i="1"/>
  <c r="O15" i="1"/>
  <c r="O12" i="1"/>
  <c r="O14" i="1"/>
  <c r="O11" i="1"/>
  <c r="P14" i="1" l="1"/>
  <c r="P11" i="1"/>
  <c r="P13" i="1"/>
  <c r="P12" i="1"/>
  <c r="P17" i="1"/>
  <c r="P7" i="1"/>
  <c r="P8" i="1"/>
  <c r="P9" i="1"/>
  <c r="P10" i="1"/>
  <c r="P16" i="1"/>
  <c r="P15" i="1"/>
  <c r="Q16" i="1"/>
  <c r="Q8" i="1"/>
  <c r="Q9" i="1"/>
  <c r="Q10" i="1"/>
  <c r="Q13" i="1"/>
  <c r="Q15" i="1"/>
  <c r="Q14" i="1"/>
  <c r="Q11" i="1"/>
  <c r="Q7" i="1"/>
  <c r="Q17" i="1"/>
  <c r="Q12" i="1"/>
</calcChain>
</file>

<file path=xl/sharedStrings.xml><?xml version="1.0" encoding="utf-8"?>
<sst xmlns="http://schemas.openxmlformats.org/spreadsheetml/2006/main" count="65" uniqueCount="65">
  <si>
    <t>Number of pixels on edge</t>
  </si>
  <si>
    <t>Plate scale</t>
  </si>
  <si>
    <t>QE</t>
  </si>
  <si>
    <t>Telescope properties</t>
  </si>
  <si>
    <t>Throughputs</t>
  </si>
  <si>
    <t>Average sky transmission</t>
  </si>
  <si>
    <t>Filter throughput</t>
  </si>
  <si>
    <t>Transmission loss per surface</t>
  </si>
  <si>
    <t>Number of transmission losses</t>
  </si>
  <si>
    <t>Loss per reflection</t>
  </si>
  <si>
    <t>Number of reflections</t>
  </si>
  <si>
    <t>K-dark observing</t>
  </si>
  <si>
    <t>Radians to Arcsec</t>
  </si>
  <si>
    <t>Sky Brightness (Jy arcsec^2)</t>
  </si>
  <si>
    <t>Focal Length (m)</t>
  </si>
  <si>
    <t>Read Noise (e)</t>
  </si>
  <si>
    <t>Dark Current (e/s)</t>
  </si>
  <si>
    <t>Pixel Size (m)</t>
  </si>
  <si>
    <t>Central wavelength (m)</t>
  </si>
  <si>
    <t>Passband (m)</t>
  </si>
  <si>
    <t>Aperture diameter (m)</t>
  </si>
  <si>
    <t>Arcsec to Radians</t>
  </si>
  <si>
    <t>Planck constant</t>
  </si>
  <si>
    <t>h (J s)</t>
  </si>
  <si>
    <t>c (m/s)</t>
  </si>
  <si>
    <t>Jy (J s^-1 m^-2 Hz^-1)</t>
  </si>
  <si>
    <t>Zero point for AB magnitude</t>
  </si>
  <si>
    <t>speed of light</t>
  </si>
  <si>
    <t>Jansky in SI units</t>
  </si>
  <si>
    <t>Pixel size in radians</t>
  </si>
  <si>
    <t>Plate scale (Pixel size in arcsec)</t>
  </si>
  <si>
    <t>Conversions</t>
  </si>
  <si>
    <t>Constants</t>
  </si>
  <si>
    <t>Bandwidth characteristics</t>
  </si>
  <si>
    <t>F0 (J s^-1 m^-2 Hz^-1)</t>
  </si>
  <si>
    <t>Photon frequency at band center</t>
  </si>
  <si>
    <t>nu0 (Hz)</t>
  </si>
  <si>
    <t>E0 (J)</t>
  </si>
  <si>
    <t>Photon energy at band center</t>
  </si>
  <si>
    <t>Bandwidth</t>
  </si>
  <si>
    <t>Delta nu (Hz)</t>
  </si>
  <si>
    <t>Optical throughput</t>
  </si>
  <si>
    <t>Transmission</t>
  </si>
  <si>
    <t>Collecting area/Transmission</t>
  </si>
  <si>
    <t>Telescope's collecting area</t>
  </si>
  <si>
    <t>Obscurations to the incident light</t>
  </si>
  <si>
    <t>Fraction of photons at top of the atmosphere that make it to the detector</t>
  </si>
  <si>
    <t xml:space="preserve">Input Parameters </t>
  </si>
  <si>
    <t>neff</t>
  </si>
  <si>
    <t>Effective number of pixels</t>
  </si>
  <si>
    <t>Sky noise (e/s)</t>
  </si>
  <si>
    <t>Source rate (e/s)</t>
  </si>
  <si>
    <t>AB Magnitude</t>
  </si>
  <si>
    <t>Beam obstruction (m^2)</t>
  </si>
  <si>
    <t>Unobstructed area (m^2)</t>
  </si>
  <si>
    <t>for now, assuming that all light from a source falls on one pixel due to PSF undersampling</t>
  </si>
  <si>
    <t>Cryoscope Pathfinder Excel ETC (07042023)</t>
  </si>
  <si>
    <t xml:space="preserve">Coadds </t>
  </si>
  <si>
    <t>Usable values (do not modify)</t>
  </si>
  <si>
    <t>Integration time (s)</t>
  </si>
  <si>
    <t xml:space="preserve">SNR </t>
  </si>
  <si>
    <t>Frame Time (s)</t>
  </si>
  <si>
    <t>Desired SNR</t>
  </si>
  <si>
    <t>For input sky brightness</t>
  </si>
  <si>
    <t>Observable conditions given the desired SNR are highlighted in green, not observable in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</si>
</sst>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1" fontId="0" fillId="0" borderId="0" xfId="0" applyNumberFormat="1"/>
    <xf numFmtId="0" fontId="1" fillId="0" borderId="0" xfId="0" applyFont="1" applyAlignment="1"/>
    <xf numFmtId="0" fontId="2" fillId="0" borderId="0" xfId="0" applyFont="1"/>
    <xf numFmtId="2" fontId="0" fillId="0" borderId="0" xfId="0" applyNumberFormat="1"/>
    <xf numFmtId="2" fontId="0" fillId="0" borderId="1" xfId="0" applyNumberFormat="1" applyBorder="1"/>
    <xf numFmtId="0" fontId="1" fillId="0" borderId="0" xfId="0" applyFont="1" applyBorder="1"/>
    <xf numFmtId="2" fontId="1" fillId="0" borderId="0" xfId="0" applyNumberFormat="1" applyFont="1" applyBorder="1"/>
    <xf numFmtId="0" fontId="0" fillId="0" borderId="2" xfId="0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2" fontId="1" fillId="0" borderId="0" xfId="0" applyNumberFormat="1" applyFont="1" applyFill="1" applyBorder="1"/>
    <xf numFmtId="2" fontId="1" fillId="0" borderId="0" xfId="0" applyNumberFormat="1" applyFont="1"/>
    <xf numFmtId="0" fontId="1" fillId="0" borderId="3" xfId="0" applyFont="1" applyFill="1" applyBorder="1"/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B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F58DD-D1C8-CB4C-8296-CC22CADB6B09}">
  <dimension ref="A1:R58"/>
  <sheetViews>
    <sheetView tabSelected="1" workbookViewId="0">
      <selection activeCell="I23" sqref="I23"/>
    </sheetView>
  </sheetViews>
  <sheetFormatPr baseColWidth="10" defaultRowHeight="16" x14ac:dyDescent="0.2"/>
  <cols>
    <col min="1" max="1" width="26.5" customWidth="1"/>
    <col min="2" max="2" width="12.1640625" bestFit="1" customWidth="1"/>
    <col min="3" max="3" width="28" customWidth="1"/>
    <col min="4" max="4" width="18.5" customWidth="1"/>
    <col min="5" max="5" width="17.83203125" customWidth="1"/>
  </cols>
  <sheetData>
    <row r="1" spans="1:18" x14ac:dyDescent="0.2">
      <c r="A1" t="s">
        <v>56</v>
      </c>
    </row>
    <row r="2" spans="1:18" x14ac:dyDescent="0.2">
      <c r="A2" s="2" t="s">
        <v>47</v>
      </c>
      <c r="B2" s="2"/>
      <c r="D2" t="s">
        <v>64</v>
      </c>
    </row>
    <row r="3" spans="1:18" x14ac:dyDescent="0.2">
      <c r="A3" s="1" t="s">
        <v>3</v>
      </c>
      <c r="D3" t="s">
        <v>62</v>
      </c>
      <c r="E3" s="6">
        <v>5</v>
      </c>
    </row>
    <row r="4" spans="1:18" x14ac:dyDescent="0.2">
      <c r="A4" t="s">
        <v>61</v>
      </c>
      <c r="B4">
        <v>2</v>
      </c>
      <c r="F4" s="11">
        <v>2</v>
      </c>
      <c r="G4" s="11">
        <f>F4*2</f>
        <v>4</v>
      </c>
      <c r="H4" s="11">
        <f t="shared" ref="H4:Q4" si="0">G4*2</f>
        <v>8</v>
      </c>
      <c r="I4" s="11">
        <f t="shared" si="0"/>
        <v>16</v>
      </c>
      <c r="J4" s="11">
        <f t="shared" si="0"/>
        <v>32</v>
      </c>
      <c r="K4" s="11">
        <f t="shared" si="0"/>
        <v>64</v>
      </c>
      <c r="L4" s="11">
        <f t="shared" si="0"/>
        <v>128</v>
      </c>
      <c r="M4" s="11">
        <f t="shared" si="0"/>
        <v>256</v>
      </c>
      <c r="N4" s="11">
        <f t="shared" si="0"/>
        <v>512</v>
      </c>
      <c r="O4" s="11">
        <f t="shared" si="0"/>
        <v>1024</v>
      </c>
      <c r="P4" s="11">
        <f t="shared" si="0"/>
        <v>2048</v>
      </c>
      <c r="Q4" s="11">
        <f t="shared" si="0"/>
        <v>4096</v>
      </c>
      <c r="R4" s="11" t="s">
        <v>57</v>
      </c>
    </row>
    <row r="5" spans="1:18" x14ac:dyDescent="0.2">
      <c r="A5" t="s">
        <v>13</v>
      </c>
      <c r="B5" s="3">
        <v>1.2E-4</v>
      </c>
      <c r="F5" s="15">
        <f>F4*$B$4</f>
        <v>4</v>
      </c>
      <c r="G5" s="15">
        <f t="shared" ref="G5:K5" si="1">G4*$B$4</f>
        <v>8</v>
      </c>
      <c r="H5" s="15">
        <f t="shared" si="1"/>
        <v>16</v>
      </c>
      <c r="I5" s="15">
        <f t="shared" si="1"/>
        <v>32</v>
      </c>
      <c r="J5" s="15">
        <f t="shared" si="1"/>
        <v>64</v>
      </c>
      <c r="K5" s="15">
        <f t="shared" si="1"/>
        <v>128</v>
      </c>
      <c r="L5" s="15">
        <f t="shared" ref="L5" si="2">L4*$B$4</f>
        <v>256</v>
      </c>
      <c r="M5" s="15">
        <f t="shared" ref="M5" si="3">M4*$B$4</f>
        <v>512</v>
      </c>
      <c r="N5" s="15">
        <f t="shared" ref="N5" si="4">N4*$B$4</f>
        <v>1024</v>
      </c>
      <c r="O5" s="15">
        <f t="shared" ref="O5" si="5">O4*$B$4</f>
        <v>2048</v>
      </c>
      <c r="P5" s="15">
        <f t="shared" ref="P5" si="6">P4*$B$4</f>
        <v>4096</v>
      </c>
      <c r="Q5" s="15">
        <f t="shared" ref="Q5" si="7">Q4*$B$4</f>
        <v>8192</v>
      </c>
      <c r="R5" s="12" t="s">
        <v>59</v>
      </c>
    </row>
    <row r="6" spans="1:18" x14ac:dyDescent="0.2">
      <c r="A6" t="s">
        <v>14</v>
      </c>
      <c r="B6">
        <v>0.52500000000000002</v>
      </c>
      <c r="D6" s="8" t="s">
        <v>52</v>
      </c>
      <c r="E6" s="8" t="s">
        <v>51</v>
      </c>
      <c r="F6" s="10" t="s">
        <v>60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18" x14ac:dyDescent="0.2">
      <c r="A7" t="s">
        <v>15</v>
      </c>
      <c r="B7">
        <v>15</v>
      </c>
      <c r="D7" s="8">
        <v>10</v>
      </c>
      <c r="E7" s="9">
        <f>(($B$36*10^(-0.4*D7))/$B$42) * $B$11 * $B$46 * $B$43 * $B$48</f>
        <v>21215.193044596199</v>
      </c>
      <c r="F7" s="7">
        <f>($E$7*F$5)/SQRT($E$7*F$5 + $E$23*F$5 + ($B$52*(F$4*($B$7^2)+($B$8*F$5))))</f>
        <v>287.84827656998476</v>
      </c>
      <c r="G7" s="7">
        <f>($E$7*G$5)/SQRT($E$7*G$5 + $E$23*G$5 + ($B$52*(G$4*($B$7^2)+($B$8*G$5))))</f>
        <v>407.07893663099406</v>
      </c>
      <c r="H7" s="7">
        <f>($E$7*H$5)/SQRT($E$7*H$5 + $E$23*H$5 + ($B$52*(H$4*($B$7^2)+($B$8*H$5))))</f>
        <v>575.69655313996952</v>
      </c>
      <c r="I7" s="7">
        <f>($E$7*I$5)/SQRT($E$7*I$5 + $E$23*I$5 + ($B$52*(I$4*($B$7^2)+($B$8*I$5))))</f>
        <v>814.15787326198813</v>
      </c>
      <c r="J7" s="7">
        <f>($E$7*J$5)/SQRT($E$7*J$5 + $E$23*J$5 + ($B$52*(J$4*($B$7^2)+($B$8*J$5))))</f>
        <v>1151.393106279939</v>
      </c>
      <c r="K7" s="7">
        <f>($E$7*K$5)/SQRT($E$7*K$5 + $E$23*K$5 + ($B$52*(K$4*($B$7^2)+($B$8*K$5))))</f>
        <v>1628.3157465239763</v>
      </c>
      <c r="L7" s="7">
        <f>($E$7*L$5)/SQRT($E$7*L$5 + $E$23*L$5 + ($B$52*(L$4*($B$7^2)+($B$8*L$5))))</f>
        <v>2302.7862125598781</v>
      </c>
      <c r="M7" s="7">
        <f>($E$7*M$5)/SQRT($E$7*M$5 + $E$23*M$5 + ($B$52*(M$4*($B$7^2)+($B$8*M$5))))</f>
        <v>3256.6314930479525</v>
      </c>
      <c r="N7" s="7">
        <f>($E$7*N$5)/SQRT($E$7*N$5 + $E$23*N$5 + ($B$52*(N$4*($B$7^2)+($B$8*N$5))))</f>
        <v>4605.5724251197562</v>
      </c>
      <c r="O7" s="7">
        <f>($E$7*O$5)/SQRT($E$7*O$5 + $E$23*O$5 + ($B$52*(O$4*($B$7^2)+($B$8*O$5))))</f>
        <v>6513.262986095905</v>
      </c>
      <c r="P7" s="7">
        <f>($E$7*P$5)/SQRT($E$7*P$5 + $E$23*P$5 + ($B$52*(P$4*($B$7^2)+($B$8*P$5))))</f>
        <v>9211.1448502395124</v>
      </c>
      <c r="Q7" s="7">
        <f>($E$7*Q$5)/SQRT($E$7*Q$5 + $E$23*Q$5 + ($B$52*(Q$4*($B$7^2)+($B$8*Q$5))))</f>
        <v>13026.52597219181</v>
      </c>
    </row>
    <row r="8" spans="1:18" x14ac:dyDescent="0.2">
      <c r="A8" t="s">
        <v>16</v>
      </c>
      <c r="B8">
        <v>50</v>
      </c>
      <c r="D8" s="8">
        <v>11</v>
      </c>
      <c r="E8" s="9">
        <f t="shared" ref="E8:E19" si="8">(($B$36*10^(-0.4*D8))/$B$42) * $B$11 * $B$46 * $B$43 * $B$48</f>
        <v>8445.9204757304087</v>
      </c>
      <c r="F8" s="7">
        <f>($E$8*F$5)/SQRT($E$8*F$5 + $E$23*F$5 + ($B$52*(F$4*($B$7^2)+($B$8*F$5))))</f>
        <v>178.46185257182663</v>
      </c>
      <c r="G8" s="7">
        <f>($E$8*G$5)/SQRT($E$8*G$5 + $E$23*G$5 + ($B$52*(G$4*($B$7^2)+($B$8*G$5))))</f>
        <v>252.38317227330504</v>
      </c>
      <c r="H8" s="7">
        <f>($E$8*H$5)/SQRT($E$8*H$5 + $E$23*H$5 + ($B$52*(H$4*($B$7^2)+($B$8*H$5))))</f>
        <v>356.92370514365325</v>
      </c>
      <c r="I8" s="7">
        <f>($E$8*I$5)/SQRT($E$8*I$5 + $E$23*I$5 + ($B$52*(I$4*($B$7^2)+($B$8*I$5))))</f>
        <v>504.76634454661007</v>
      </c>
      <c r="J8" s="7">
        <f>($E$8*J$5)/SQRT($E$8*J$5 + $E$23*J$5 + ($B$52*(J$4*($B$7^2)+($B$8*J$5))))</f>
        <v>713.8474102873065</v>
      </c>
      <c r="K8" s="7">
        <f>($E$8*K$5)/SQRT($E$8*K$5 + $E$23*K$5 + ($B$52*(K$4*($B$7^2)+($B$8*K$5))))</f>
        <v>1009.5326890932201</v>
      </c>
      <c r="L8" s="7">
        <f>($E$8*L$5)/SQRT($E$8*L$5 + $E$23*L$5 + ($B$52*(L$4*($B$7^2)+($B$8*L$5))))</f>
        <v>1427.694820574613</v>
      </c>
      <c r="M8" s="7">
        <f>($E$8*M$5)/SQRT($E$8*M$5 + $E$23*M$5 + ($B$52*(M$4*($B$7^2)+($B$8*M$5))))</f>
        <v>2019.0653781864403</v>
      </c>
      <c r="N8" s="7">
        <f>($E$8*N$5)/SQRT($E$8*N$5 + $E$23*N$5 + ($B$52*(N$4*($B$7^2)+($B$8*N$5))))</f>
        <v>2855.389641149226</v>
      </c>
      <c r="O8" s="7">
        <f>($E$8*O$5)/SQRT($E$8*O$5 + $E$23*O$5 + ($B$52*(O$4*($B$7^2)+($B$8*O$5))))</f>
        <v>4038.1307563728806</v>
      </c>
      <c r="P8" s="7">
        <f>($E$8*P$5)/SQRT($E$8*P$5 + $E$23*P$5 + ($B$52*(P$4*($B$7^2)+($B$8*P$5))))</f>
        <v>5710.779282298452</v>
      </c>
      <c r="Q8" s="7">
        <f>($E$8*Q$5)/SQRT($E$8*Q$5 + $E$23*Q$5 + ($B$52*(Q$4*($B$7^2)+($B$8*Q$5))))</f>
        <v>8076.2615127457611</v>
      </c>
    </row>
    <row r="9" spans="1:18" x14ac:dyDescent="0.2">
      <c r="A9" t="s">
        <v>17</v>
      </c>
      <c r="B9" s="3">
        <v>1.8E-5</v>
      </c>
      <c r="D9" s="8">
        <v>12</v>
      </c>
      <c r="E9" s="9">
        <f t="shared" si="8"/>
        <v>3362.3815033128799</v>
      </c>
      <c r="F9" s="7">
        <f>($E$9*F$5)/SQRT($E$9*F$5 + $E$23*F$5 + ($B$52*(F$4*($B$7^2)+($B$8*F$5))))</f>
        <v>108.02172126629165</v>
      </c>
      <c r="G9" s="7">
        <f>($E$9*G$5)/SQRT($E$9*G$5 + $E$23*G$5 + ($B$52*(G$4*($B$7^2)+($B$8*G$5))))</f>
        <v>152.76578324567583</v>
      </c>
      <c r="H9" s="7">
        <f>($E$9*H$5)/SQRT($E$9*H$5 + $E$23*H$5 + ($B$52*(H$4*($B$7^2)+($B$8*H$5))))</f>
        <v>216.0434425325833</v>
      </c>
      <c r="I9" s="7">
        <f>($E$9*I$5)/SQRT($E$9*I$5 + $E$23*I$5 + ($B$52*(I$4*($B$7^2)+($B$8*I$5))))</f>
        <v>305.53156649135167</v>
      </c>
      <c r="J9" s="7">
        <f>($E$9*J$5)/SQRT($E$9*J$5 + $E$23*J$5 + ($B$52*(J$4*($B$7^2)+($B$8*J$5))))</f>
        <v>432.0868850651666</v>
      </c>
      <c r="K9" s="7">
        <f>($E$9*K$5)/SQRT($E$9*K$5 + $E$23*K$5 + ($B$52*(K$4*($B$7^2)+($B$8*K$5))))</f>
        <v>611.06313298270334</v>
      </c>
      <c r="L9" s="7">
        <f>($E$9*L$5)/SQRT($E$9*L$5 + $E$23*L$5 + ($B$52*(L$4*($B$7^2)+($B$8*L$5))))</f>
        <v>864.1737701303332</v>
      </c>
      <c r="M9" s="7">
        <f>($E$9*M$5)/SQRT($E$9*M$5 + $E$23*M$5 + ($B$52*(M$4*($B$7^2)+($B$8*M$5))))</f>
        <v>1222.1262659654067</v>
      </c>
      <c r="N9" s="7">
        <f>($E$9*N$5)/SQRT($E$9*N$5 + $E$23*N$5 + ($B$52*(N$4*($B$7^2)+($B$8*N$5))))</f>
        <v>1728.3475402606664</v>
      </c>
      <c r="O9" s="7">
        <f>($E$9*O$5)/SQRT($E$9*O$5 + $E$23*O$5 + ($B$52*(O$4*($B$7^2)+($B$8*O$5))))</f>
        <v>2444.2525319308133</v>
      </c>
      <c r="P9" s="7">
        <f>($E$9*P$5)/SQRT($E$9*P$5 + $E$23*P$5 + ($B$52*(P$4*($B$7^2)+($B$8*P$5))))</f>
        <v>3456.6950805213328</v>
      </c>
      <c r="Q9" s="7">
        <f>($E$9*Q$5)/SQRT($E$9*Q$5 + $E$23*Q$5 + ($B$52*(Q$4*($B$7^2)+($B$8*Q$5))))</f>
        <v>4888.5050638616267</v>
      </c>
    </row>
    <row r="10" spans="1:18" x14ac:dyDescent="0.2">
      <c r="A10" t="s">
        <v>0</v>
      </c>
      <c r="B10">
        <v>2048</v>
      </c>
      <c r="D10" s="8">
        <v>13</v>
      </c>
      <c r="E10" s="9">
        <f t="shared" si="8"/>
        <v>1338.5881866053057</v>
      </c>
      <c r="F10" s="7">
        <f>($E$10*F$5)/SQRT($E$10*F$5 + $E$23*F$5 + ($B$52*(F$4*($B$7^2)+($B$8*F$5))))</f>
        <v>62.213790071118098</v>
      </c>
      <c r="G10" s="7">
        <f>($E$10*G$5)/SQRT($E$10*G$5 + $E$23*G$5 + ($B$52*(G$4*($B$7^2)+($B$8*G$5))))</f>
        <v>87.983585685207814</v>
      </c>
      <c r="H10" s="7">
        <f>($E$10*H$5)/SQRT($E$10*H$5 + $E$23*H$5 + ($B$52*(H$4*($B$7^2)+($B$8*H$5))))</f>
        <v>124.4275801422362</v>
      </c>
      <c r="I10" s="7">
        <f>($E$10*I$5)/SQRT($E$10*I$5 + $E$23*I$5 + ($B$52*(I$4*($B$7^2)+($B$8*I$5))))</f>
        <v>175.96717137041563</v>
      </c>
      <c r="J10" s="7">
        <f>($E$10*J$5)/SQRT($E$10*J$5 + $E$23*J$5 + ($B$52*(J$4*($B$7^2)+($B$8*J$5))))</f>
        <v>248.85516028447239</v>
      </c>
      <c r="K10" s="7">
        <f>($E$10*K$5)/SQRT($E$10*K$5 + $E$23*K$5 + ($B$52*(K$4*($B$7^2)+($B$8*K$5))))</f>
        <v>351.93434274083126</v>
      </c>
      <c r="L10" s="7">
        <f>($E$10*L$5)/SQRT($E$10*L$5 + $E$23*L$5 + ($B$52*(L$4*($B$7^2)+($B$8*L$5))))</f>
        <v>497.71032056894478</v>
      </c>
      <c r="M10" s="7">
        <f>($E$10*M$5)/SQRT($E$10*M$5 + $E$23*M$5 + ($B$52*(M$4*($B$7^2)+($B$8*M$5))))</f>
        <v>703.86868548166251</v>
      </c>
      <c r="N10" s="7">
        <f>($E$10*N$5)/SQRT($E$10*N$5 + $E$23*N$5 + ($B$52*(N$4*($B$7^2)+($B$8*N$5))))</f>
        <v>995.42064113788956</v>
      </c>
      <c r="O10" s="7">
        <f>($E$10*O$5)/SQRT($E$10*O$5 + $E$23*O$5 + ($B$52*(O$4*($B$7^2)+($B$8*O$5))))</f>
        <v>1407.737370963325</v>
      </c>
      <c r="P10" s="7">
        <f>($E$10*P$5)/SQRT($E$10*P$5 + $E$23*P$5 + ($B$52*(P$4*($B$7^2)+($B$8*P$5))))</f>
        <v>1990.8412822757791</v>
      </c>
      <c r="Q10" s="7">
        <f>($E$10*Q$5)/SQRT($E$10*Q$5 + $E$23*Q$5 + ($B$52*(Q$4*($B$7^2)+($B$8*Q$5))))</f>
        <v>2815.47474192665</v>
      </c>
    </row>
    <row r="11" spans="1:18" x14ac:dyDescent="0.2">
      <c r="A11" t="s">
        <v>2</v>
      </c>
      <c r="B11">
        <v>0.9</v>
      </c>
      <c r="D11" s="8">
        <v>14</v>
      </c>
      <c r="E11" s="9">
        <f t="shared" si="8"/>
        <v>532.90155550577526</v>
      </c>
      <c r="F11" s="7">
        <f>($E$11*F$5)/SQRT($E$11*F$5 + $E$23*F$5 + ($B$52*(F$4*($B$7^2)+($B$8*F$5))))</f>
        <v>32.953344272406085</v>
      </c>
      <c r="G11" s="7">
        <f>($E$11*G$5)/SQRT($E$11*G$5 + $E$23*G$5 + ($B$52*(G$4*($B$7^2)+($B$8*G$5))))</f>
        <v>46.603066395586445</v>
      </c>
      <c r="H11" s="7">
        <f>($E$11*H$5)/SQRT($E$11*H$5 + $E$23*H$5 + ($B$52*(H$4*($B$7^2)+($B$8*H$5))))</f>
        <v>65.90668854481217</v>
      </c>
      <c r="I11" s="7">
        <f>($E$11*I$5)/SQRT($E$11*I$5 + $E$23*I$5 + ($B$52*(I$4*($B$7^2)+($B$8*I$5))))</f>
        <v>93.206132791172891</v>
      </c>
      <c r="J11" s="7">
        <f>($E$11*J$5)/SQRT($E$11*J$5 + $E$23*J$5 + ($B$52*(J$4*($B$7^2)+($B$8*J$5))))</f>
        <v>131.81337708962434</v>
      </c>
      <c r="K11" s="7">
        <f>($E$11*K$5)/SQRT($E$11*K$5 + $E$23*K$5 + ($B$52*(K$4*($B$7^2)+($B$8*K$5))))</f>
        <v>186.41226558234578</v>
      </c>
      <c r="L11" s="7">
        <f>($E$11*L$5)/SQRT($E$11*L$5 + $E$23*L$5 + ($B$52*(L$4*($B$7^2)+($B$8*L$5))))</f>
        <v>263.62675417924868</v>
      </c>
      <c r="M11" s="7">
        <f>($E$11*M$5)/SQRT($E$11*M$5 + $E$23*M$5 + ($B$52*(M$4*($B$7^2)+($B$8*M$5))))</f>
        <v>372.82453116469156</v>
      </c>
      <c r="N11" s="7">
        <f>($E$11*N$5)/SQRT($E$11*N$5 + $E$23*N$5 + ($B$52*(N$4*($B$7^2)+($B$8*N$5))))</f>
        <v>527.25350835849736</v>
      </c>
      <c r="O11" s="7">
        <f>($E$11*O$5)/SQRT($E$11*O$5 + $E$23*O$5 + ($B$52*(O$4*($B$7^2)+($B$8*O$5))))</f>
        <v>745.64906232938313</v>
      </c>
      <c r="P11" s="7">
        <f>($E$11*P$5)/SQRT($E$11*P$5 + $E$23*P$5 + ($B$52*(P$4*($B$7^2)+($B$8*P$5))))</f>
        <v>1054.5070167169947</v>
      </c>
      <c r="Q11" s="7">
        <f>($E$11*Q$5)/SQRT($E$11*Q$5 + $E$23*Q$5 + ($B$52*(Q$4*($B$7^2)+($B$8*Q$5))))</f>
        <v>1491.2981246587663</v>
      </c>
    </row>
    <row r="12" spans="1:18" x14ac:dyDescent="0.2">
      <c r="A12" t="s">
        <v>20</v>
      </c>
      <c r="B12">
        <v>0.26</v>
      </c>
      <c r="D12" s="8">
        <v>15</v>
      </c>
      <c r="E12" s="9">
        <f t="shared" si="8"/>
        <v>212.15193044596194</v>
      </c>
      <c r="F12" s="7">
        <f>($E$12*F$5)/SQRT($E$12*F$5 + $E$23*F$5 + ($B$52*(F$4*($B$7^2)+($B$8*F$5))))</f>
        <v>15.754920156708781</v>
      </c>
      <c r="G12" s="7">
        <f>($E$12*G$5)/SQRT($E$12*G$5 + $E$23*G$5 + ($B$52*(G$4*($B$7^2)+($B$8*G$5))))</f>
        <v>22.280821759722809</v>
      </c>
      <c r="H12" s="7">
        <f>($E$12*H$5)/SQRT($E$12*H$5 + $E$23*H$5 + ($B$52*(H$4*($B$7^2)+($B$8*H$5))))</f>
        <v>31.509840313417563</v>
      </c>
      <c r="I12" s="7">
        <f>($E$12*I$5)/SQRT($E$12*I$5 + $E$23*I$5 + ($B$52*(I$4*($B$7^2)+($B$8*I$5))))</f>
        <v>44.561643519445617</v>
      </c>
      <c r="J12" s="7">
        <f>($E$12*J$5)/SQRT($E$12*J$5 + $E$23*J$5 + ($B$52*(J$4*($B$7^2)+($B$8*J$5))))</f>
        <v>63.019680626835125</v>
      </c>
      <c r="K12" s="7">
        <f>($E$12*K$5)/SQRT($E$12*K$5 + $E$23*K$5 + ($B$52*(K$4*($B$7^2)+($B$8*K$5))))</f>
        <v>89.123287038891235</v>
      </c>
      <c r="L12" s="7">
        <f>($E$12*L$5)/SQRT($E$12*L$5 + $E$23*L$5 + ($B$52*(L$4*($B$7^2)+($B$8*L$5))))</f>
        <v>126.03936125367025</v>
      </c>
      <c r="M12" s="7">
        <f>($E$12*M$5)/SQRT($E$12*M$5 + $E$23*M$5 + ($B$52*(M$4*($B$7^2)+($B$8*M$5))))</f>
        <v>178.24657407778247</v>
      </c>
      <c r="N12" s="7">
        <f>($E$12*N$5)/SQRT($E$12*N$5 + $E$23*N$5 + ($B$52*(N$4*($B$7^2)+($B$8*N$5))))</f>
        <v>252.0787225073405</v>
      </c>
      <c r="O12" s="7">
        <f>($E$12*O$5)/SQRT($E$12*O$5 + $E$23*O$5 + ($B$52*(O$4*($B$7^2)+($B$8*O$5))))</f>
        <v>356.49314815556494</v>
      </c>
      <c r="P12" s="7">
        <f>($E$12*P$5)/SQRT($E$12*P$5 + $E$23*P$5 + ($B$52*(P$4*($B$7^2)+($B$8*P$5))))</f>
        <v>504.157445014681</v>
      </c>
      <c r="Q12" s="7">
        <f>($E$12*Q$5)/SQRT($E$12*Q$5 + $E$23*Q$5 + ($B$52*(Q$4*($B$7^2)+($B$8*Q$5))))</f>
        <v>712.98629631112988</v>
      </c>
    </row>
    <row r="13" spans="1:18" x14ac:dyDescent="0.2">
      <c r="D13" s="8">
        <v>16</v>
      </c>
      <c r="E13" s="9">
        <f t="shared" si="8"/>
        <v>84.459204757304036</v>
      </c>
      <c r="F13" s="7">
        <f>($E$13*F$5)/SQRT($E$13*F$5 + $E$23*F$5 + ($B$52*(F$4*($B$7^2)+($B$8*F$5))))</f>
        <v>6.909819353045858</v>
      </c>
      <c r="G13" s="7">
        <f>($E$13*G$5)/SQRT($E$13*G$5 + $E$23*G$5 + ($B$52*(G$4*($B$7^2)+($B$8*G$5))))</f>
        <v>9.7719602426255374</v>
      </c>
      <c r="H13" s="7">
        <f>($E$13*H$5)/SQRT($E$13*H$5 + $E$23*H$5 + ($B$52*(H$4*($B$7^2)+($B$8*H$5))))</f>
        <v>13.819638706091716</v>
      </c>
      <c r="I13" s="7">
        <f>($E$13*I$5)/SQRT($E$13*I$5 + $E$23*I$5 + ($B$52*(I$4*($B$7^2)+($B$8*I$5))))</f>
        <v>19.543920485251075</v>
      </c>
      <c r="J13" s="7">
        <f>($E$13*J$5)/SQRT($E$13*J$5 + $E$23*J$5 + ($B$52*(J$4*($B$7^2)+($B$8*J$5))))</f>
        <v>27.639277412183432</v>
      </c>
      <c r="K13" s="7">
        <f>($E$13*K$5)/SQRT($E$13*K$5 + $E$23*K$5 + ($B$52*(K$4*($B$7^2)+($B$8*K$5))))</f>
        <v>39.08784097050215</v>
      </c>
      <c r="L13" s="7">
        <f>($E$13*L$5)/SQRT($E$13*L$5 + $E$23*L$5 + ($B$52*(L$4*($B$7^2)+($B$8*L$5))))</f>
        <v>55.278554824366864</v>
      </c>
      <c r="M13" s="7">
        <f>($E$13*M$5)/SQRT($E$13*M$5 + $E$23*M$5 + ($B$52*(M$4*($B$7^2)+($B$8*M$5))))</f>
        <v>78.175681941004299</v>
      </c>
      <c r="N13" s="7">
        <f>($E$13*N$5)/SQRT($E$13*N$5 + $E$23*N$5 + ($B$52*(N$4*($B$7^2)+($B$8*N$5))))</f>
        <v>110.55710964873373</v>
      </c>
      <c r="O13" s="7">
        <f>($E$13*O$5)/SQRT($E$13*O$5 + $E$23*O$5 + ($B$52*(O$4*($B$7^2)+($B$8*O$5))))</f>
        <v>156.3513638820086</v>
      </c>
      <c r="P13" s="7">
        <f>($E$13*P$5)/SQRT($E$13*P$5 + $E$23*P$5 + ($B$52*(P$4*($B$7^2)+($B$8*P$5))))</f>
        <v>221.11421929746746</v>
      </c>
      <c r="Q13" s="7">
        <f>($E$13*Q$5)/SQRT($E$13*Q$5 + $E$23*Q$5 + ($B$52*(Q$4*($B$7^2)+($B$8*Q$5))))</f>
        <v>312.7027277640172</v>
      </c>
    </row>
    <row r="14" spans="1:18" x14ac:dyDescent="0.2">
      <c r="A14" s="1" t="s">
        <v>4</v>
      </c>
      <c r="D14" s="8">
        <v>17</v>
      </c>
      <c r="E14" s="9">
        <f t="shared" si="8"/>
        <v>33.623815033128786</v>
      </c>
      <c r="F14" s="7">
        <f>($E$14*F$5)/SQRT($E$14*F$5 + $E$23*F$5 + ($B$52*(F$4*($B$7^2)+($B$8*F$5))))</f>
        <v>2.8758837382489881</v>
      </c>
      <c r="G14" s="7">
        <f>($E$14*G$5)/SQRT($E$14*G$5 + $E$23*G$5 + ($B$52*(G$4*($B$7^2)+($B$8*G$5))))</f>
        <v>4.0671137864399549</v>
      </c>
      <c r="H14" s="7">
        <f>($E$14*H$5)/SQRT($E$14*H$5 + $E$23*H$5 + ($B$52*(H$4*($B$7^2)+($B$8*H$5))))</f>
        <v>5.7517674764979763</v>
      </c>
      <c r="I14" s="7">
        <f>($E$14*I$5)/SQRT($E$14*I$5 + $E$23*I$5 + ($B$52*(I$4*($B$7^2)+($B$8*I$5))))</f>
        <v>8.1342275728799098</v>
      </c>
      <c r="J14" s="7">
        <f>($E$14*J$5)/SQRT($E$14*J$5 + $E$23*J$5 + ($B$52*(J$4*($B$7^2)+($B$8*J$5))))</f>
        <v>11.503534952995953</v>
      </c>
      <c r="K14" s="7">
        <f>($E$14*K$5)/SQRT($E$14*K$5 + $E$23*K$5 + ($B$52*(K$4*($B$7^2)+($B$8*K$5))))</f>
        <v>16.26845514575982</v>
      </c>
      <c r="L14" s="7">
        <f>($E$14*L$5)/SQRT($E$14*L$5 + $E$23*L$5 + ($B$52*(L$4*($B$7^2)+($B$8*L$5))))</f>
        <v>23.007069905991905</v>
      </c>
      <c r="M14" s="7">
        <f>($E$14*M$5)/SQRT($E$14*M$5 + $E$23*M$5 + ($B$52*(M$4*($B$7^2)+($B$8*M$5))))</f>
        <v>32.536910291519639</v>
      </c>
      <c r="N14" s="7">
        <f>($E$14*N$5)/SQRT($E$14*N$5 + $E$23*N$5 + ($B$52*(N$4*($B$7^2)+($B$8*N$5))))</f>
        <v>46.01413981198381</v>
      </c>
      <c r="O14" s="7">
        <f>($E$14*O$5)/SQRT($E$14*O$5 + $E$23*O$5 + ($B$52*(O$4*($B$7^2)+($B$8*O$5))))</f>
        <v>65.073820583039279</v>
      </c>
      <c r="P14" s="7">
        <f>($E$14*P$5)/SQRT($E$14*P$5 + $E$23*P$5 + ($B$52*(P$4*($B$7^2)+($B$8*P$5))))</f>
        <v>92.02827962396762</v>
      </c>
      <c r="Q14" s="7">
        <f>($E$14*Q$5)/SQRT($E$14*Q$5 + $E$23*Q$5 + ($B$52*(Q$4*($B$7^2)+($B$8*Q$5))))</f>
        <v>130.14764116607856</v>
      </c>
    </row>
    <row r="15" spans="1:18" x14ac:dyDescent="0.2">
      <c r="A15" t="s">
        <v>5</v>
      </c>
      <c r="B15">
        <v>0.95</v>
      </c>
      <c r="D15" s="8">
        <v>18</v>
      </c>
      <c r="E15" s="9">
        <f t="shared" si="8"/>
        <v>13.385881866053051</v>
      </c>
      <c r="F15" s="7">
        <f>($E$15*F$5)/SQRT($E$15*F$5 + $E$23*F$5 + ($B$52*(F$4*($B$7^2)+($B$8*F$5))))</f>
        <v>1.1667051732092875</v>
      </c>
      <c r="G15" s="7">
        <f>($E$15*G$5)/SQRT($E$15*G$5 + $E$23*G$5 + ($B$52*(G$4*($B$7^2)+($B$8*G$5))))</f>
        <v>1.6499702792434254</v>
      </c>
      <c r="H15" s="7">
        <f>($E$15*H$5)/SQRT($E$15*H$5 + $E$23*H$5 + ($B$52*(H$4*($B$7^2)+($B$8*H$5))))</f>
        <v>2.3334103464185749</v>
      </c>
      <c r="I15" s="7">
        <f>($E$15*I$5)/SQRT($E$15*I$5 + $E$23*I$5 + ($B$52*(I$4*($B$7^2)+($B$8*I$5))))</f>
        <v>3.2999405584868509</v>
      </c>
      <c r="J15" s="7">
        <f>($E$15*J$5)/SQRT($E$15*J$5 + $E$23*J$5 + ($B$52*(J$4*($B$7^2)+($B$8*J$5))))</f>
        <v>4.6668206928371498</v>
      </c>
      <c r="K15" s="7">
        <f>($E$15*K$5)/SQRT($E$15*K$5 + $E$23*K$5 + ($B$52*(K$4*($B$7^2)+($B$8*K$5))))</f>
        <v>6.5998811169737017</v>
      </c>
      <c r="L15" s="7">
        <f>($E$15*L$5)/SQRT($E$15*L$5 + $E$23*L$5 + ($B$52*(L$4*($B$7^2)+($B$8*L$5))))</f>
        <v>9.3336413856742997</v>
      </c>
      <c r="M15" s="7">
        <f>($E$15*M$5)/SQRT($E$15*M$5 + $E$23*M$5 + ($B$52*(M$4*($B$7^2)+($B$8*M$5))))</f>
        <v>13.199762233947403</v>
      </c>
      <c r="N15" s="7">
        <f>($E$15*N$5)/SQRT($E$15*N$5 + $E$23*N$5 + ($B$52*(N$4*($B$7^2)+($B$8*N$5))))</f>
        <v>18.667282771348599</v>
      </c>
      <c r="O15" s="7">
        <f>($E$15*O$5)/SQRT($E$15*O$5 + $E$23*O$5 + ($B$52*(O$4*($B$7^2)+($B$8*O$5))))</f>
        <v>26.399524467894807</v>
      </c>
      <c r="P15" s="7">
        <f>($E$15*P$5)/SQRT($E$15*P$5 + $E$23*P$5 + ($B$52*(P$4*($B$7^2)+($B$8*P$5))))</f>
        <v>37.334565542697199</v>
      </c>
      <c r="Q15" s="7">
        <f>($E$15*Q$5)/SQRT($E$15*Q$5 + $E$23*Q$5 + ($B$52*(Q$4*($B$7^2)+($B$8*Q$5))))</f>
        <v>52.799048935789614</v>
      </c>
    </row>
    <row r="16" spans="1:18" x14ac:dyDescent="0.2">
      <c r="A16" t="s">
        <v>6</v>
      </c>
      <c r="B16">
        <v>0.98</v>
      </c>
      <c r="D16" s="8">
        <v>19</v>
      </c>
      <c r="E16" s="9">
        <f t="shared" si="8"/>
        <v>5.3290155550577509</v>
      </c>
      <c r="F16" s="7">
        <f>($E$16*F$5)/SQRT($E$16*F$5 + $E$23*F$5 + ($B$52*(F$4*($B$7^2)+($B$8*F$5))))</f>
        <v>0.46806857941711161</v>
      </c>
      <c r="G16" s="7">
        <f>($E$16*G$5)/SQRT($E$16*G$5 + $E$23*G$5 + ($B$52*(G$4*($B$7^2)+($B$8*G$5))))</f>
        <v>0.66194893313238734</v>
      </c>
      <c r="H16" s="7">
        <f>($E$16*H$5)/SQRT($E$16*H$5 + $E$23*H$5 + ($B$52*(H$4*($B$7^2)+($B$8*H$5))))</f>
        <v>0.93613715883422322</v>
      </c>
      <c r="I16" s="7">
        <f>($E$16*I$5)/SQRT($E$16*I$5 + $E$23*I$5 + ($B$52*(I$4*($B$7^2)+($B$8*I$5))))</f>
        <v>1.3238978662647747</v>
      </c>
      <c r="J16" s="7">
        <f>($E$16*J$5)/SQRT($E$16*J$5 + $E$23*J$5 + ($B$52*(J$4*($B$7^2)+($B$8*J$5))))</f>
        <v>1.8722743176684464</v>
      </c>
      <c r="K16" s="7">
        <f>($E$16*K$5)/SQRT($E$16*K$5 + $E$23*K$5 + ($B$52*(K$4*($B$7^2)+($B$8*K$5))))</f>
        <v>2.6477957325295494</v>
      </c>
      <c r="L16" s="7">
        <f>($E$16*L$5)/SQRT($E$16*L$5 + $E$23*L$5 + ($B$52*(L$4*($B$7^2)+($B$8*L$5))))</f>
        <v>3.7445486353368929</v>
      </c>
      <c r="M16" s="7">
        <f>($E$16*M$5)/SQRT($E$16*M$5 + $E$23*M$5 + ($B$52*(M$4*($B$7^2)+($B$8*M$5))))</f>
        <v>5.2955914650590987</v>
      </c>
      <c r="N16" s="7">
        <f>($E$16*N$5)/SQRT($E$16*N$5 + $E$23*N$5 + ($B$52*(N$4*($B$7^2)+($B$8*N$5))))</f>
        <v>7.4890972706737857</v>
      </c>
      <c r="O16" s="7">
        <f>($E$16*O$5)/SQRT($E$16*O$5 + $E$23*O$5 + ($B$52*(O$4*($B$7^2)+($B$8*O$5))))</f>
        <v>10.591182930118197</v>
      </c>
      <c r="P16" s="7">
        <f>($E$16*P$5)/SQRT($E$16*P$5 + $E$23*P$5 + ($B$52*(P$4*($B$7^2)+($B$8*P$5))))</f>
        <v>14.978194541347571</v>
      </c>
      <c r="Q16" s="7">
        <f>($E$16*Q$5)/SQRT($E$16*Q$5 + $E$23*Q$5 + ($B$52*(Q$4*($B$7^2)+($B$8*Q$5))))</f>
        <v>21.182365860236395</v>
      </c>
    </row>
    <row r="17" spans="1:17" x14ac:dyDescent="0.2">
      <c r="A17" t="s">
        <v>7</v>
      </c>
      <c r="B17">
        <v>5.0000000000000001E-3</v>
      </c>
      <c r="D17" s="8">
        <v>20</v>
      </c>
      <c r="E17" s="9">
        <f t="shared" si="8"/>
        <v>2.1215193044596194</v>
      </c>
      <c r="F17" s="7">
        <f>($E$17*F$5)/SQRT($E$17*F$5 + $E$23*F$5 + ($B$52*(F$4*($B$7^2)+($B$8*F$5))))</f>
        <v>0.18692052822813135</v>
      </c>
      <c r="G17" s="7">
        <f>($E$17*G$5)/SQRT($E$17*G$5 + $E$23*G$5 + ($B$52*(G$4*($B$7^2)+($B$8*G$5))))</f>
        <v>0.26434554610616634</v>
      </c>
      <c r="H17" s="7">
        <f>($E$17*H$5)/SQRT($E$17*H$5 + $E$23*H$5 + ($B$52*(H$4*($B$7^2)+($B$8*H$5))))</f>
        <v>0.3738410564562627</v>
      </c>
      <c r="I17" s="7">
        <f>($E$17*I$5)/SQRT($E$17*I$5 + $E$23*I$5 + ($B$52*(I$4*($B$7^2)+($B$8*I$5))))</f>
        <v>0.52869109221233268</v>
      </c>
      <c r="J17" s="7">
        <f>($E$17*J$5)/SQRT($E$17*J$5 + $E$23*J$5 + ($B$52*(J$4*($B$7^2)+($B$8*J$5))))</f>
        <v>0.7476821129125254</v>
      </c>
      <c r="K17" s="7">
        <f>($E$17*K$5)/SQRT($E$17*K$5 + $E$23*K$5 + ($B$52*(K$4*($B$7^2)+($B$8*K$5))))</f>
        <v>1.0573821844246654</v>
      </c>
      <c r="L17" s="7">
        <f>($E$17*L$5)/SQRT($E$17*L$5 + $E$23*L$5 + ($B$52*(L$4*($B$7^2)+($B$8*L$5))))</f>
        <v>1.4953642258250508</v>
      </c>
      <c r="M17" s="7">
        <f>($E$17*M$5)/SQRT($E$17*M$5 + $E$23*M$5 + ($B$52*(M$4*($B$7^2)+($B$8*M$5))))</f>
        <v>2.1147643688493307</v>
      </c>
      <c r="N17" s="7">
        <f>($E$17*N$5)/SQRT($E$17*N$5 + $E$23*N$5 + ($B$52*(N$4*($B$7^2)+($B$8*N$5))))</f>
        <v>2.9907284516501016</v>
      </c>
      <c r="O17" s="7">
        <f>($E$17*O$5)/SQRT($E$17*O$5 + $E$23*O$5 + ($B$52*(O$4*($B$7^2)+($B$8*O$5))))</f>
        <v>4.2295287376986614</v>
      </c>
      <c r="P17" s="7">
        <f>($E$17*P$5)/SQRT($E$17*P$5 + $E$23*P$5 + ($B$52*(P$4*($B$7^2)+($B$8*P$5))))</f>
        <v>5.9814569033002032</v>
      </c>
      <c r="Q17" s="7">
        <f>($E$17*Q$5)/SQRT($E$17*Q$5 + $E$23*Q$5 + ($B$52*(Q$4*($B$7^2)+($B$8*Q$5))))</f>
        <v>8.4590574753973229</v>
      </c>
    </row>
    <row r="18" spans="1:17" x14ac:dyDescent="0.2">
      <c r="A18" t="s">
        <v>8</v>
      </c>
      <c r="B18">
        <v>4</v>
      </c>
      <c r="D18" s="12">
        <v>21</v>
      </c>
      <c r="E18" s="14">
        <f t="shared" si="8"/>
        <v>0.8445920475730414</v>
      </c>
      <c r="F18" s="7">
        <f>($E$18*F$5)/SQRT($E$18*F$5 + $E$23*F$5 + ($B$52*(F$4*($B$7^2)+($B$8*F$5))))</f>
        <v>7.4506779066770765E-2</v>
      </c>
      <c r="G18" s="7">
        <f t="shared" ref="G18:Q18" si="9">($E$18*G$5)/SQRT($E$18*G$5 + $E$23*G$5 + ($B$52*(G$4*($B$7^2)+($B$8*G$5))))</f>
        <v>0.10536849744496303</v>
      </c>
      <c r="H18" s="7">
        <f t="shared" si="9"/>
        <v>0.14901355813354153</v>
      </c>
      <c r="I18" s="7">
        <f t="shared" si="9"/>
        <v>0.21073699488992606</v>
      </c>
      <c r="J18" s="7">
        <f t="shared" si="9"/>
        <v>0.29802711626708306</v>
      </c>
      <c r="K18" s="7">
        <f t="shared" si="9"/>
        <v>0.42147398977985212</v>
      </c>
      <c r="L18" s="7">
        <f t="shared" si="9"/>
        <v>0.59605423253416612</v>
      </c>
      <c r="M18" s="7">
        <f t="shared" si="9"/>
        <v>0.84294797955970424</v>
      </c>
      <c r="N18" s="7">
        <f t="shared" si="9"/>
        <v>1.1921084650683322</v>
      </c>
      <c r="O18" s="7">
        <f t="shared" si="9"/>
        <v>1.6858959591194085</v>
      </c>
      <c r="P18" s="7">
        <f t="shared" si="9"/>
        <v>2.3842169301366645</v>
      </c>
      <c r="Q18" s="7">
        <f t="shared" si="9"/>
        <v>3.371791918238817</v>
      </c>
    </row>
    <row r="19" spans="1:17" x14ac:dyDescent="0.2">
      <c r="A19" t="s">
        <v>9</v>
      </c>
      <c r="B19">
        <v>0.04</v>
      </c>
      <c r="D19" s="12">
        <v>22</v>
      </c>
      <c r="E19" s="13">
        <f t="shared" si="8"/>
        <v>0.33623815033128712</v>
      </c>
      <c r="F19" s="7">
        <f>($E$19*F$5)/SQRT($E$19*F$5 + $E$23*F$5 + ($B$52*(F$4*($B$7^2)+($B$8*F$5))))</f>
        <v>2.9676361845218026E-2</v>
      </c>
      <c r="G19" s="7">
        <f t="shared" ref="G19:Q19" si="10">($E$19*G$5)/SQRT($E$19*G$5 + $E$23*G$5 + ($B$52*(G$4*($B$7^2)+($B$8*G$5))))</f>
        <v>4.1968713403398777E-2</v>
      </c>
      <c r="H19" s="7">
        <f t="shared" si="10"/>
        <v>5.9352723690436052E-2</v>
      </c>
      <c r="I19" s="7">
        <f t="shared" si="10"/>
        <v>8.3937426806797555E-2</v>
      </c>
      <c r="J19" s="7">
        <f t="shared" si="10"/>
        <v>0.1187054473808721</v>
      </c>
      <c r="K19" s="7">
        <f t="shared" si="10"/>
        <v>0.16787485361359511</v>
      </c>
      <c r="L19" s="7">
        <f t="shared" si="10"/>
        <v>0.23741089476174421</v>
      </c>
      <c r="M19" s="7">
        <f t="shared" si="10"/>
        <v>0.33574970722719022</v>
      </c>
      <c r="N19" s="7">
        <f t="shared" si="10"/>
        <v>0.47482178952348841</v>
      </c>
      <c r="O19" s="7">
        <f t="shared" si="10"/>
        <v>0.67149941445438044</v>
      </c>
      <c r="P19" s="7">
        <f t="shared" si="10"/>
        <v>0.94964357904697683</v>
      </c>
      <c r="Q19" s="7">
        <f t="shared" si="10"/>
        <v>1.3429988289087609</v>
      </c>
    </row>
    <row r="20" spans="1:17" x14ac:dyDescent="0.2">
      <c r="A20" t="s">
        <v>10</v>
      </c>
      <c r="B20">
        <v>1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x14ac:dyDescent="0.2"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x14ac:dyDescent="0.2">
      <c r="A22" s="1" t="s">
        <v>11</v>
      </c>
      <c r="D22" t="s">
        <v>63</v>
      </c>
      <c r="E22" s="6"/>
      <c r="F22" s="5"/>
      <c r="G22" s="5"/>
      <c r="H22" s="5"/>
      <c r="I22" s="5"/>
      <c r="J22" s="5"/>
    </row>
    <row r="23" spans="1:17" x14ac:dyDescent="0.2">
      <c r="A23" t="s">
        <v>18</v>
      </c>
      <c r="B23" s="3">
        <v>2.3800000000000001E-6</v>
      </c>
      <c r="D23" t="s">
        <v>50</v>
      </c>
      <c r="E23" s="6">
        <f>(((B5*B35)*(B52*B39)^2)/B42) * B11 * B46 * B43 * B48</f>
        <v>350.65454365596815</v>
      </c>
    </row>
    <row r="24" spans="1:17" x14ac:dyDescent="0.2">
      <c r="A24" t="s">
        <v>19</v>
      </c>
      <c r="B24" s="3">
        <v>2.2600000000000001E-7</v>
      </c>
    </row>
    <row r="28" spans="1:17" x14ac:dyDescent="0.2">
      <c r="A28" s="2" t="s">
        <v>58</v>
      </c>
      <c r="B28" s="2"/>
    </row>
    <row r="29" spans="1:17" x14ac:dyDescent="0.2">
      <c r="A29" s="1" t="s">
        <v>31</v>
      </c>
    </row>
    <row r="30" spans="1:17" x14ac:dyDescent="0.2">
      <c r="A30" t="s">
        <v>12</v>
      </c>
      <c r="B30">
        <v>206265</v>
      </c>
    </row>
    <row r="31" spans="1:17" x14ac:dyDescent="0.2">
      <c r="A31" t="s">
        <v>21</v>
      </c>
      <c r="B31">
        <f>1/B30</f>
        <v>4.8481322570479724E-6</v>
      </c>
    </row>
    <row r="32" spans="1:17" x14ac:dyDescent="0.2">
      <c r="A32" s="1" t="s">
        <v>32</v>
      </c>
    </row>
    <row r="33" spans="1:3" x14ac:dyDescent="0.2">
      <c r="A33" t="s">
        <v>23</v>
      </c>
      <c r="B33" s="3">
        <v>6.6259999999999998E-34</v>
      </c>
      <c r="C33" t="s">
        <v>22</v>
      </c>
    </row>
    <row r="34" spans="1:3" x14ac:dyDescent="0.2">
      <c r="A34" t="s">
        <v>24</v>
      </c>
      <c r="B34" s="3">
        <v>300000000</v>
      </c>
      <c r="C34" t="s">
        <v>27</v>
      </c>
    </row>
    <row r="35" spans="1:3" x14ac:dyDescent="0.2">
      <c r="A35" t="s">
        <v>25</v>
      </c>
      <c r="B35" s="3">
        <v>1E-26</v>
      </c>
      <c r="C35" t="s">
        <v>28</v>
      </c>
    </row>
    <row r="36" spans="1:3" x14ac:dyDescent="0.2">
      <c r="A36" t="s">
        <v>34</v>
      </c>
      <c r="B36" s="3">
        <f>3631*B35</f>
        <v>3.6310000000000001E-23</v>
      </c>
      <c r="C36" t="s">
        <v>26</v>
      </c>
    </row>
    <row r="37" spans="1:3" x14ac:dyDescent="0.2">
      <c r="A37" s="1" t="s">
        <v>1</v>
      </c>
    </row>
    <row r="38" spans="1:3" x14ac:dyDescent="0.2">
      <c r="A38" t="s">
        <v>29</v>
      </c>
      <c r="B38" s="3">
        <f>B9/B6</f>
        <v>3.4285714285714284E-5</v>
      </c>
    </row>
    <row r="39" spans="1:3" x14ac:dyDescent="0.2">
      <c r="A39" t="s">
        <v>30</v>
      </c>
      <c r="B39" s="3">
        <f>B38*B30</f>
        <v>7.0719428571428571</v>
      </c>
    </row>
    <row r="40" spans="1:3" x14ac:dyDescent="0.2">
      <c r="A40" s="1" t="s">
        <v>33</v>
      </c>
    </row>
    <row r="41" spans="1:3" x14ac:dyDescent="0.2">
      <c r="A41" t="s">
        <v>36</v>
      </c>
      <c r="B41" s="3">
        <f>B34/B23</f>
        <v>126050420168067.22</v>
      </c>
      <c r="C41" t="s">
        <v>35</v>
      </c>
    </row>
    <row r="42" spans="1:3" x14ac:dyDescent="0.2">
      <c r="A42" t="s">
        <v>37</v>
      </c>
      <c r="B42" s="3">
        <f>B33*B41</f>
        <v>8.3521008403361335E-20</v>
      </c>
      <c r="C42" t="s">
        <v>38</v>
      </c>
    </row>
    <row r="43" spans="1:3" x14ac:dyDescent="0.2">
      <c r="A43" t="s">
        <v>40</v>
      </c>
      <c r="B43" s="3">
        <f>B34 * ((B23-B24/2)^(-1) - (B23+B24/2)^(-1))</f>
        <v>11996536928897.17</v>
      </c>
      <c r="C43" t="s">
        <v>39</v>
      </c>
    </row>
    <row r="44" spans="1:3" x14ac:dyDescent="0.2">
      <c r="A44" s="1" t="s">
        <v>43</v>
      </c>
    </row>
    <row r="45" spans="1:3" x14ac:dyDescent="0.2">
      <c r="A45" t="s">
        <v>53</v>
      </c>
      <c r="B45" s="3">
        <f>(B10*B9*1.05)^2</f>
        <v>1.4982473318400002E-3</v>
      </c>
      <c r="C45" t="s">
        <v>45</v>
      </c>
    </row>
    <row r="46" spans="1:3" x14ac:dyDescent="0.2">
      <c r="A46" t="s">
        <v>54</v>
      </c>
      <c r="B46" s="3">
        <f>(PI()*B12^2)/4 - B45</f>
        <v>5.1594668513827512E-2</v>
      </c>
      <c r="C46" t="s">
        <v>44</v>
      </c>
    </row>
    <row r="47" spans="1:3" x14ac:dyDescent="0.2">
      <c r="A47" t="s">
        <v>41</v>
      </c>
      <c r="B47">
        <f>((1-B17)^B18)*((1-B19)^B20)</f>
        <v>0.94094352059999997</v>
      </c>
    </row>
    <row r="48" spans="1:3" x14ac:dyDescent="0.2">
      <c r="A48" t="s">
        <v>42</v>
      </c>
      <c r="B48">
        <f>B15*B16*B47</f>
        <v>0.87601841767859989</v>
      </c>
      <c r="C48" t="s">
        <v>46</v>
      </c>
    </row>
    <row r="51" spans="1:3" x14ac:dyDescent="0.2">
      <c r="A51" s="4" t="s">
        <v>49</v>
      </c>
      <c r="B51" s="4"/>
    </row>
    <row r="52" spans="1:3" x14ac:dyDescent="0.2">
      <c r="A52" t="s">
        <v>48</v>
      </c>
      <c r="B52">
        <v>1</v>
      </c>
      <c r="C52" t="s">
        <v>55</v>
      </c>
    </row>
    <row r="54" spans="1:3" x14ac:dyDescent="0.2">
      <c r="A54" s="1"/>
    </row>
    <row r="58" spans="1:3" x14ac:dyDescent="0.2">
      <c r="A58" s="1"/>
    </row>
  </sheetData>
  <mergeCells count="3">
    <mergeCell ref="A2:B2"/>
    <mergeCell ref="A28:B28"/>
    <mergeCell ref="F6:Q6"/>
  </mergeCells>
  <conditionalFormatting sqref="E3">
    <cfRule type="cellIs" dxfId="18" priority="19" operator="greaterThan">
      <formula>$E$3</formula>
    </cfRule>
  </conditionalFormatting>
  <conditionalFormatting sqref="F23 F7:Q19">
    <cfRule type="cellIs" dxfId="17" priority="21" operator="greaterThan">
      <formula>$E$3</formula>
    </cfRule>
  </conditionalFormatting>
  <conditionalFormatting sqref="F6:Q19">
    <cfRule type="cellIs" dxfId="16" priority="17" operator="lessThan">
      <formula>$E$3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2023-07-04T17:04:53Z</dcterms:created>
  <dcterms:modified xsi:type="dcterms:W3CDTF">2023-07-04T19:15:52Z</dcterms:modified>
</cp:coreProperties>
</file>