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in/Documents/workspace/sliansoft-oa/协同办公系统/"/>
    </mc:Choice>
  </mc:AlternateContent>
  <xr:revisionPtr revIDLastSave="0" documentId="13_ncr:1_{B5E254E5-9BE8-434A-A204-1FC35A55C1C0}" xr6:coauthVersionLast="45" xr6:coauthVersionMax="45" xr10:uidLastSave="{00000000-0000-0000-0000-000000000000}"/>
  <bookViews>
    <workbookView xWindow="1280" yWindow="1280" windowWidth="30180" windowHeight="16600" xr2:uid="{00000000-000D-0000-FFFF-FFFF00000000}"/>
  </bookViews>
  <sheets>
    <sheet name="总表" sheetId="1" r:id="rId1"/>
    <sheet name="销售清单" sheetId="2" r:id="rId2"/>
    <sheet name="采购清单" sheetId="3" r:id="rId3"/>
    <sheet name="项目人员成本" sheetId="4" r:id="rId4"/>
    <sheet name="人员成本单价" sheetId="6" r:id="rId5"/>
    <sheet name="填表说明" sheetId="5" r:id="rId6"/>
  </sheets>
  <definedNames>
    <definedName name="_xlnm._FilterDatabase" localSheetId="4" hidden="1">人员成本单价!$B$2:$D$44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4" i="4" l="1"/>
  <c r="R7" i="4"/>
  <c r="R8" i="4"/>
  <c r="R9" i="4"/>
  <c r="R10" i="4"/>
  <c r="R18" i="4" s="1"/>
  <c r="R11" i="4"/>
  <c r="R12" i="4"/>
  <c r="R13" i="4"/>
  <c r="G14" i="4" a="1"/>
  <c r="G14" i="4" s="1"/>
  <c r="G11" i="4" a="1"/>
  <c r="G11" i="4" s="1"/>
  <c r="G7" i="4" a="1"/>
  <c r="G7" i="4" s="1"/>
  <c r="G8" i="4" a="1"/>
  <c r="G8" i="4" s="1"/>
  <c r="G9" i="4" a="1"/>
  <c r="G9" i="4" s="1"/>
  <c r="G10" i="4" a="1"/>
  <c r="G10" i="4" s="1"/>
  <c r="G12" i="4" a="1"/>
  <c r="G12" i="4" s="1"/>
  <c r="G13" i="4" a="1"/>
  <c r="G13" i="4" s="1"/>
  <c r="D29" i="1"/>
  <c r="D30" i="1"/>
  <c r="D32" i="1"/>
  <c r="D34" i="1"/>
  <c r="F3" i="1"/>
  <c r="C4" i="1"/>
  <c r="D13" i="2"/>
  <c r="D19" i="2" s="1"/>
  <c r="D11" i="1" s="1"/>
  <c r="G11" i="1" s="1"/>
  <c r="D14" i="2"/>
  <c r="D15" i="2"/>
  <c r="D16" i="2"/>
  <c r="D17" i="2"/>
  <c r="I17" i="2" s="1"/>
  <c r="I19" i="2" s="1"/>
  <c r="D13" i="1" s="1"/>
  <c r="C2" i="1"/>
  <c r="C2" i="4"/>
  <c r="G31" i="1"/>
  <c r="G33" i="1"/>
  <c r="F32" i="1"/>
  <c r="F30" i="1"/>
  <c r="F29" i="1"/>
  <c r="F34" i="1" s="1"/>
  <c r="G34" i="1" s="1"/>
  <c r="G21" i="1"/>
  <c r="G7" i="1"/>
  <c r="F7" i="1"/>
  <c r="H7" i="1"/>
  <c r="G32" i="1"/>
  <c r="I20" i="3"/>
  <c r="E20" i="3"/>
  <c r="D18" i="1" s="1"/>
  <c r="G18" i="1" s="1"/>
  <c r="K5" i="3"/>
  <c r="L5" i="3" s="1"/>
  <c r="K6" i="3"/>
  <c r="L6" i="3"/>
  <c r="K7" i="3"/>
  <c r="L7" i="3" s="1"/>
  <c r="K8" i="3"/>
  <c r="L8" i="3" s="1"/>
  <c r="K9" i="3"/>
  <c r="L9" i="3"/>
  <c r="K10" i="3"/>
  <c r="L10" i="3"/>
  <c r="K11" i="3"/>
  <c r="L11" i="3" s="1"/>
  <c r="K12" i="3"/>
  <c r="L12" i="3" s="1"/>
  <c r="K13" i="3"/>
  <c r="L13" i="3" s="1"/>
  <c r="K14" i="3"/>
  <c r="L14" i="3"/>
  <c r="K15" i="3"/>
  <c r="L15" i="3" s="1"/>
  <c r="K16" i="3"/>
  <c r="L16" i="3" s="1"/>
  <c r="K17" i="3"/>
  <c r="L17" i="3"/>
  <c r="K18" i="3"/>
  <c r="L18" i="3"/>
  <c r="K3" i="1"/>
  <c r="K2" i="1"/>
  <c r="K4" i="1"/>
  <c r="H4" i="1"/>
  <c r="H3" i="1"/>
  <c r="H2" i="1"/>
  <c r="C3" i="1"/>
  <c r="J8" i="2"/>
  <c r="H13" i="2"/>
  <c r="H19" i="2" s="1"/>
  <c r="D12" i="1" s="1"/>
  <c r="H14" i="2"/>
  <c r="H15" i="2"/>
  <c r="H16" i="2"/>
  <c r="H17" i="2"/>
  <c r="I13" i="2"/>
  <c r="I14" i="2"/>
  <c r="I15" i="2"/>
  <c r="I16" i="2"/>
  <c r="M11" i="2"/>
  <c r="M19" i="2" s="1"/>
  <c r="F13" i="1" s="1"/>
  <c r="L11" i="2"/>
  <c r="J19" i="2"/>
  <c r="G5" i="3"/>
  <c r="H5" i="3"/>
  <c r="N19" i="2"/>
  <c r="E34" i="1"/>
  <c r="E25" i="1"/>
  <c r="G6" i="3"/>
  <c r="H6" i="3" s="1"/>
  <c r="G7" i="3"/>
  <c r="G20" i="3" s="1"/>
  <c r="D22" i="1" s="1"/>
  <c r="H7" i="3"/>
  <c r="G8" i="3"/>
  <c r="H8" i="3"/>
  <c r="G9" i="3"/>
  <c r="H9" i="3" s="1"/>
  <c r="G10" i="3"/>
  <c r="H10" i="3" s="1"/>
  <c r="G11" i="3"/>
  <c r="H11" i="3" s="1"/>
  <c r="G12" i="3"/>
  <c r="H12" i="3"/>
  <c r="G13" i="3"/>
  <c r="H13" i="3" s="1"/>
  <c r="G14" i="3"/>
  <c r="H14" i="3" s="1"/>
  <c r="G15" i="3"/>
  <c r="H15" i="3"/>
  <c r="G16" i="3"/>
  <c r="H16" i="3"/>
  <c r="G17" i="3"/>
  <c r="H17" i="3" s="1"/>
  <c r="G18" i="3"/>
  <c r="H18" i="3" s="1"/>
  <c r="L18" i="4"/>
  <c r="F18" i="1"/>
  <c r="K4" i="3"/>
  <c r="L4" i="3"/>
  <c r="G4" i="3"/>
  <c r="H4" i="3"/>
  <c r="E23" i="1"/>
  <c r="L19" i="2"/>
  <c r="F12" i="1"/>
  <c r="G29" i="1"/>
  <c r="G30" i="1"/>
  <c r="H11" i="2"/>
  <c r="I11" i="2"/>
  <c r="G13" i="1" l="1"/>
  <c r="D25" i="1"/>
  <c r="N8" i="4"/>
  <c r="J8" i="4" a="1"/>
  <c r="J8" i="4" s="1"/>
  <c r="K8" i="4" s="1"/>
  <c r="M8" i="4"/>
  <c r="H20" i="3"/>
  <c r="D19" i="1" s="1"/>
  <c r="G22" i="1"/>
  <c r="M13" i="4"/>
  <c r="N13" i="4"/>
  <c r="J13" i="4" a="1"/>
  <c r="J13" i="4" s="1"/>
  <c r="K13" i="4" s="1"/>
  <c r="J10" i="4" a="1"/>
  <c r="J10" i="4" s="1"/>
  <c r="M10" i="4"/>
  <c r="N10" i="4"/>
  <c r="O10" i="4" s="1"/>
  <c r="L20" i="3"/>
  <c r="F19" i="1" s="1"/>
  <c r="N14" i="4"/>
  <c r="J14" i="4" a="1"/>
  <c r="J14" i="4" s="1"/>
  <c r="K14" i="4" s="1"/>
  <c r="N12" i="4"/>
  <c r="J12" i="4" a="1"/>
  <c r="J12" i="4" s="1"/>
  <c r="K12" i="4" s="1"/>
  <c r="N9" i="4"/>
  <c r="J9" i="4" a="1"/>
  <c r="J9" i="4" s="1"/>
  <c r="K9" i="4" s="1"/>
  <c r="N7" i="4"/>
  <c r="J7" i="4"/>
  <c r="K7" i="4" s="1"/>
  <c r="J11" i="4" a="1"/>
  <c r="J11" i="4" s="1"/>
  <c r="M11" i="4" s="1"/>
  <c r="N11" i="4"/>
  <c r="G12" i="1"/>
  <c r="K20" i="3"/>
  <c r="F22" i="1" s="1"/>
  <c r="F25" i="1" s="1"/>
  <c r="M7" i="4" l="1"/>
  <c r="O8" i="4"/>
  <c r="G19" i="1"/>
  <c r="M12" i="4"/>
  <c r="O12" i="4"/>
  <c r="O11" i="4"/>
  <c r="K18" i="4"/>
  <c r="G25" i="1"/>
  <c r="M9" i="4"/>
  <c r="O9" i="4" s="1"/>
  <c r="M14" i="4"/>
  <c r="O14" i="4" s="1"/>
  <c r="N18" i="4"/>
  <c r="F20" i="1" s="1"/>
  <c r="F23" i="1" s="1"/>
  <c r="F38" i="1" s="1"/>
  <c r="O13" i="4"/>
  <c r="F39" i="1" l="1"/>
  <c r="F44" i="1"/>
  <c r="M18" i="4"/>
  <c r="D20" i="1" s="1"/>
  <c r="O7" i="4"/>
  <c r="O18" i="4" s="1"/>
  <c r="G20" i="1" l="1"/>
  <c r="D23" i="1"/>
  <c r="G23" i="1" l="1"/>
  <c r="G38" i="1" s="1"/>
  <c r="D38" i="1"/>
  <c r="D46" i="1" l="1"/>
  <c r="D44" i="1"/>
  <c r="D39" i="1"/>
  <c r="D48" i="1" l="1"/>
  <c r="D47" i="1"/>
  <c r="S13" i="4" l="1"/>
  <c r="S11" i="4"/>
  <c r="S9" i="4"/>
  <c r="S14" i="4"/>
  <c r="S7" i="4"/>
  <c r="S18" i="4" s="1"/>
  <c r="S8" i="4"/>
  <c r="S12" i="4"/>
  <c r="S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tc={DB64ABF8-93F7-42AE-A0B5-C506C85620C7}</author>
  </authors>
  <commentList>
    <comment ref="B3" authorId="0" shapeId="0" xr:uid="{00000000-0006-0000-0100-000001000000}">
      <text>
        <r>
          <rPr>
            <sz val="11"/>
            <color theme="1"/>
            <rFont val="等线"/>
            <family val="2"/>
            <charset val="134"/>
            <scheme val="minor"/>
          </rPr>
          <t>[嵌套批注]
你的Excel版本可读取此嵌套批注; 但如果在更新版本的Excel中打开文件，则对批注所作的任何改动都将被删除。了解详细信息: https://go.microsoft.com/fwlink/?linkid=870924
注释:
    同订单编号</t>
        </r>
      </text>
    </comment>
  </commentList>
</comments>
</file>

<file path=xl/sharedStrings.xml><?xml version="1.0" encoding="utf-8"?>
<sst xmlns="http://schemas.openxmlformats.org/spreadsheetml/2006/main" count="275" uniqueCount="147">
  <si>
    <t>项目编号</t>
    <phoneticPr fontId="2" type="noConversion"/>
  </si>
  <si>
    <t>项目名称</t>
    <phoneticPr fontId="2" type="noConversion"/>
  </si>
  <si>
    <t>销售姓名</t>
    <phoneticPr fontId="2" type="noConversion"/>
  </si>
  <si>
    <t>客户联系电话</t>
  </si>
  <si>
    <t>客户所在城市</t>
  </si>
  <si>
    <t>项目类型</t>
  </si>
  <si>
    <t>项目周期</t>
  </si>
  <si>
    <t>起始日期</t>
  </si>
  <si>
    <t>项目负责人</t>
  </si>
  <si>
    <t>项目负责人电话</t>
  </si>
  <si>
    <t>交付投入人数</t>
  </si>
  <si>
    <t>合同金额</t>
    <phoneticPr fontId="2" type="noConversion"/>
  </si>
  <si>
    <t>税率</t>
    <phoneticPr fontId="2" type="noConversion"/>
  </si>
  <si>
    <t>合同收入</t>
    <phoneticPr fontId="2" type="noConversion"/>
  </si>
  <si>
    <t>人员成本</t>
    <phoneticPr fontId="2" type="noConversion"/>
  </si>
  <si>
    <t>外采成本</t>
    <phoneticPr fontId="2" type="noConversion"/>
  </si>
  <si>
    <t>预算金额</t>
    <phoneticPr fontId="2" type="noConversion"/>
  </si>
  <si>
    <t>实际金额</t>
    <phoneticPr fontId="2" type="noConversion"/>
  </si>
  <si>
    <t>税额</t>
    <phoneticPr fontId="2" type="noConversion"/>
  </si>
  <si>
    <t>成本：</t>
    <phoneticPr fontId="2" type="noConversion"/>
  </si>
  <si>
    <t>成本合计</t>
    <phoneticPr fontId="2" type="noConversion"/>
  </si>
  <si>
    <t>差异</t>
    <phoneticPr fontId="2" type="noConversion"/>
  </si>
  <si>
    <t>费用：</t>
    <phoneticPr fontId="2" type="noConversion"/>
  </si>
  <si>
    <t>咨询服务费</t>
    <phoneticPr fontId="2" type="noConversion"/>
  </si>
  <si>
    <t>投标费</t>
    <phoneticPr fontId="2" type="noConversion"/>
  </si>
  <si>
    <t>费用合计</t>
    <phoneticPr fontId="2" type="noConversion"/>
  </si>
  <si>
    <t>营业利润</t>
    <phoneticPr fontId="2" type="noConversion"/>
  </si>
  <si>
    <t>税金及附加：</t>
    <phoneticPr fontId="2" type="noConversion"/>
  </si>
  <si>
    <t>收入金额</t>
    <phoneticPr fontId="2" type="noConversion"/>
  </si>
  <si>
    <t>采购商品</t>
    <phoneticPr fontId="2" type="noConversion"/>
  </si>
  <si>
    <t>采购日期</t>
    <phoneticPr fontId="2" type="noConversion"/>
  </si>
  <si>
    <t>付款日期</t>
    <phoneticPr fontId="2" type="noConversion"/>
  </si>
  <si>
    <t>采购状态</t>
    <phoneticPr fontId="2" type="noConversion"/>
  </si>
  <si>
    <t>序号</t>
    <phoneticPr fontId="2" type="noConversion"/>
  </si>
  <si>
    <t>合计金额</t>
    <phoneticPr fontId="2" type="noConversion"/>
  </si>
  <si>
    <t>预算成本</t>
    <phoneticPr fontId="2" type="noConversion"/>
  </si>
  <si>
    <t>实际成本</t>
    <phoneticPr fontId="2" type="noConversion"/>
  </si>
  <si>
    <t>采购金额</t>
    <phoneticPr fontId="2" type="noConversion"/>
  </si>
  <si>
    <t>高级</t>
  </si>
  <si>
    <t>级别</t>
    <phoneticPr fontId="2" type="noConversion"/>
  </si>
  <si>
    <t>姓名</t>
    <phoneticPr fontId="2" type="noConversion"/>
  </si>
  <si>
    <t>备注信息</t>
    <phoneticPr fontId="2" type="noConversion"/>
  </si>
  <si>
    <t>合计</t>
    <phoneticPr fontId="2" type="noConversion"/>
  </si>
  <si>
    <t>岗位
名称</t>
    <phoneticPr fontId="2" type="noConversion"/>
  </si>
  <si>
    <t>计划远
程天数</t>
    <phoneticPr fontId="2" type="noConversion"/>
  </si>
  <si>
    <t>实际远
程天数</t>
    <phoneticPr fontId="2" type="noConversion"/>
  </si>
  <si>
    <t>计划驻
场天数</t>
    <phoneticPr fontId="2" type="noConversion"/>
  </si>
  <si>
    <t>实际驻
场天数</t>
    <phoneticPr fontId="2" type="noConversion"/>
  </si>
  <si>
    <t>驻场
单价</t>
    <phoneticPr fontId="2" type="noConversion"/>
  </si>
  <si>
    <t>远程
单价</t>
    <phoneticPr fontId="2" type="noConversion"/>
  </si>
  <si>
    <t>月数</t>
    <phoneticPr fontId="2" type="noConversion"/>
  </si>
  <si>
    <t>结束日期</t>
    <phoneticPr fontId="2" type="noConversion"/>
  </si>
  <si>
    <t>客户名称</t>
    <phoneticPr fontId="2" type="noConversion"/>
  </si>
  <si>
    <t>区域</t>
    <phoneticPr fontId="2" type="noConversion"/>
  </si>
  <si>
    <t>商品名称</t>
    <phoneticPr fontId="2" type="noConversion"/>
  </si>
  <si>
    <t>金额</t>
    <phoneticPr fontId="2" type="noConversion"/>
  </si>
  <si>
    <t>销售只需要填写黄色区域</t>
    <phoneticPr fontId="2" type="noConversion"/>
  </si>
  <si>
    <t>财务根据实际收付填写蓝色区域</t>
    <phoneticPr fontId="2" type="noConversion"/>
  </si>
  <si>
    <t>销项税额</t>
    <phoneticPr fontId="2" type="noConversion"/>
  </si>
  <si>
    <t>进项税额</t>
    <phoneticPr fontId="2" type="noConversion"/>
  </si>
  <si>
    <t>毛利率</t>
    <phoneticPr fontId="2" type="noConversion"/>
  </si>
  <si>
    <t>单位：元</t>
    <phoneticPr fontId="2" type="noConversion"/>
  </si>
  <si>
    <t>采购清单：</t>
    <phoneticPr fontId="2" type="noConversion"/>
  </si>
  <si>
    <t>销售清单</t>
    <phoneticPr fontId="2" type="noConversion"/>
  </si>
  <si>
    <t>采购清单</t>
    <phoneticPr fontId="2" type="noConversion"/>
  </si>
  <si>
    <t>项目人员成本</t>
    <phoneticPr fontId="2" type="noConversion"/>
  </si>
  <si>
    <t>表中黄色区域由销售填写</t>
    <phoneticPr fontId="2" type="noConversion"/>
  </si>
  <si>
    <t>表中黄色区域由采购负责人填写</t>
    <phoneticPr fontId="2" type="noConversion"/>
  </si>
  <si>
    <t>表中黄色区域由项目经理填写</t>
    <phoneticPr fontId="2" type="noConversion"/>
  </si>
  <si>
    <t>A0001</t>
    <phoneticPr fontId="2" type="noConversion"/>
  </si>
  <si>
    <t>A项目</t>
    <phoneticPr fontId="2" type="noConversion"/>
  </si>
  <si>
    <t>上海驻云信息科技有限公司</t>
    <phoneticPr fontId="2" type="noConversion"/>
  </si>
  <si>
    <t>供应商名称（全称）</t>
    <phoneticPr fontId="2" type="noConversion"/>
  </si>
  <si>
    <t>实际条目
小计（元）</t>
    <phoneticPr fontId="2" type="noConversion"/>
  </si>
  <si>
    <t>计划条目
小计（元）</t>
    <phoneticPr fontId="2" type="noConversion"/>
  </si>
  <si>
    <t>差旅预算
金额</t>
    <phoneticPr fontId="2" type="noConversion"/>
  </si>
  <si>
    <t>差旅实际
金额</t>
    <phoneticPr fontId="2" type="noConversion"/>
  </si>
  <si>
    <t>采购负责人只需要填写黄色区域</t>
    <phoneticPr fontId="2" type="noConversion"/>
  </si>
  <si>
    <t>客户名称（全称）</t>
    <phoneticPr fontId="2" type="noConversion"/>
  </si>
  <si>
    <t>其他费用</t>
    <phoneticPr fontId="2" type="noConversion"/>
  </si>
  <si>
    <t>投标费用</t>
    <phoneticPr fontId="2" type="noConversion"/>
  </si>
  <si>
    <t>其他费用</t>
    <phoneticPr fontId="2" type="noConversion"/>
  </si>
  <si>
    <t>预算金额</t>
    <phoneticPr fontId="2" type="noConversion"/>
  </si>
  <si>
    <t>实际金额</t>
    <phoneticPr fontId="2" type="noConversion"/>
  </si>
  <si>
    <t>项目负责人只需要填写黄色区域</t>
    <phoneticPr fontId="2" type="noConversion"/>
  </si>
  <si>
    <t>奖励金额：</t>
    <phoneticPr fontId="2" type="noConversion"/>
  </si>
  <si>
    <t>收入：</t>
    <phoneticPr fontId="2" type="noConversion"/>
  </si>
  <si>
    <t>利润：</t>
    <phoneticPr fontId="2" type="noConversion"/>
  </si>
  <si>
    <t>项目编号</t>
    <phoneticPr fontId="2" type="noConversion"/>
  </si>
  <si>
    <t>项目经理</t>
  </si>
  <si>
    <t>中级</t>
  </si>
  <si>
    <t>需求分析师</t>
  </si>
  <si>
    <t>Java工程师</t>
  </si>
  <si>
    <t>前端工程师</t>
  </si>
  <si>
    <t>测试工程师</t>
  </si>
  <si>
    <t>视觉设计师</t>
  </si>
  <si>
    <t>定制开发</t>
    <phoneticPr fontId="2" type="noConversion"/>
  </si>
  <si>
    <r>
      <rPr>
        <sz val="10"/>
        <color theme="1"/>
        <rFont val="SimSun"/>
        <family val="3"/>
        <charset val="134"/>
      </rPr>
      <t>商品</t>
    </r>
    <r>
      <rPr>
        <sz val="10"/>
        <color theme="1"/>
        <rFont val="Arial"/>
        <family val="2"/>
      </rPr>
      <t>ID</t>
    </r>
    <phoneticPr fontId="2" type="noConversion"/>
  </si>
  <si>
    <t>技术支持</t>
    <phoneticPr fontId="2" type="noConversion"/>
  </si>
  <si>
    <t>初级</t>
  </si>
  <si>
    <t>运维工程师</t>
  </si>
  <si>
    <t>资深</t>
  </si>
  <si>
    <t>岗位名称</t>
    <phoneticPr fontId="2" type="noConversion"/>
  </si>
  <si>
    <t>高级</t>
    <phoneticPr fontId="2" type="noConversion"/>
  </si>
  <si>
    <t>中级</t>
    <phoneticPr fontId="2" type="noConversion"/>
  </si>
  <si>
    <t>初级</t>
    <phoneticPr fontId="2" type="noConversion"/>
  </si>
  <si>
    <t>数据工程师</t>
    <phoneticPr fontId="2" type="noConversion"/>
  </si>
  <si>
    <r>
      <t>NodeJS</t>
    </r>
    <r>
      <rPr>
        <sz val="10"/>
        <color theme="1"/>
        <rFont val="SimSun"/>
        <family val="3"/>
        <charset val="134"/>
      </rPr>
      <t>工程师</t>
    </r>
    <phoneticPr fontId="2" type="noConversion"/>
  </si>
  <si>
    <t>资深</t>
    <phoneticPr fontId="2" type="noConversion"/>
  </si>
  <si>
    <t>系统架构师</t>
    <phoneticPr fontId="2" type="noConversion"/>
  </si>
  <si>
    <t>远程单价</t>
    <phoneticPr fontId="2" type="noConversion"/>
  </si>
  <si>
    <t>所属区域</t>
    <phoneticPr fontId="2" type="noConversion"/>
  </si>
  <si>
    <t>技术支持</t>
  </si>
  <si>
    <t>系统架构师</t>
  </si>
  <si>
    <t>数据工程师</t>
  </si>
  <si>
    <t>NodeJS工程师</t>
  </si>
  <si>
    <t>岗位
名称</t>
  </si>
  <si>
    <t>成本利润率</t>
    <phoneticPr fontId="2" type="noConversion"/>
  </si>
  <si>
    <t>成本</t>
    <phoneticPr fontId="2" type="noConversion"/>
  </si>
  <si>
    <t>差异（正为超支）</t>
    <phoneticPr fontId="2" type="noConversion"/>
  </si>
  <si>
    <t>能力系数</t>
    <phoneticPr fontId="2" type="noConversion"/>
  </si>
  <si>
    <t>责任系数</t>
    <phoneticPr fontId="2" type="noConversion"/>
  </si>
  <si>
    <t>得分</t>
    <phoneticPr fontId="2" type="noConversion"/>
  </si>
  <si>
    <t>激励金额</t>
    <phoneticPr fontId="2" type="noConversion"/>
  </si>
  <si>
    <t>项目负责人</t>
    <phoneticPr fontId="2" type="noConversion"/>
  </si>
  <si>
    <t>项目类型</t>
    <phoneticPr fontId="2" type="noConversion"/>
  </si>
  <si>
    <t>销售联系电话</t>
    <phoneticPr fontId="2" type="noConversion"/>
  </si>
  <si>
    <t>华东</t>
  </si>
  <si>
    <t>项目奖励金额</t>
    <phoneticPr fontId="2" type="noConversion"/>
  </si>
  <si>
    <t>共享奖励金额</t>
    <phoneticPr fontId="2" type="noConversion"/>
  </si>
  <si>
    <t>成员奖励金额</t>
    <phoneticPr fontId="2" type="noConversion"/>
  </si>
  <si>
    <t>尹天鹤</t>
    <rPh sb="0" eb="1">
      <t>yin</t>
    </rPh>
    <rPh sb="1" eb="2">
      <t>tian h</t>
    </rPh>
    <phoneticPr fontId="2" type="noConversion"/>
  </si>
  <si>
    <t>段文康</t>
    <rPh sb="0" eb="1">
      <t>duan</t>
    </rPh>
    <rPh sb="1" eb="2">
      <t>wen</t>
    </rPh>
    <rPh sb="2" eb="3">
      <t>kang</t>
    </rPh>
    <phoneticPr fontId="2" type="noConversion"/>
  </si>
  <si>
    <t>何紫荆</t>
    <rPh sb="0" eb="1">
      <t>he</t>
    </rPh>
    <rPh sb="1" eb="2">
      <t>zi</t>
    </rPh>
    <rPh sb="2" eb="3">
      <t>jing</t>
    </rPh>
    <phoneticPr fontId="2" type="noConversion"/>
  </si>
  <si>
    <t>新业务有技术积累</t>
  </si>
  <si>
    <t>程学林</t>
    <rPh sb="0" eb="1">
      <t>c x l</t>
    </rPh>
    <phoneticPr fontId="2" type="noConversion"/>
  </si>
  <si>
    <t>李渊辰</t>
    <phoneticPr fontId="2" type="noConversion"/>
  </si>
  <si>
    <r>
      <t>2</t>
    </r>
    <r>
      <rPr>
        <sz val="10"/>
        <color theme="1"/>
        <rFont val="宋体"/>
        <family val="3"/>
        <charset val="134"/>
      </rPr>
      <t>月</t>
    </r>
    <phoneticPr fontId="2" type="noConversion"/>
  </si>
  <si>
    <t>杭州</t>
    <phoneticPr fontId="2" type="noConversion"/>
  </si>
  <si>
    <t>杭州</t>
    <phoneticPr fontId="2" type="noConversion"/>
  </si>
  <si>
    <t>18657118911</t>
    <phoneticPr fontId="2" type="noConversion"/>
  </si>
  <si>
    <t>章嘉伦</t>
    <rPh sb="0" eb="1">
      <t>zhang</t>
    </rPh>
    <rPh sb="1" eb="2">
      <t>jia</t>
    </rPh>
    <rPh sb="2" eb="3">
      <t>lun</t>
    </rPh>
    <phoneticPr fontId="2" type="noConversion"/>
  </si>
  <si>
    <t>郑聪聪</t>
    <rPh sb="0" eb="1">
      <t>zheng</t>
    </rPh>
    <rPh sb="1" eb="2">
      <t>cong</t>
    </rPh>
    <rPh sb="2" eb="3">
      <t>cong</t>
    </rPh>
    <phoneticPr fontId="2" type="noConversion"/>
  </si>
  <si>
    <t>张圣扬</t>
    <rPh sb="0" eb="1">
      <t>zhang</t>
    </rPh>
    <rPh sb="1" eb="2">
      <t>sheng</t>
    </rPh>
    <rPh sb="2" eb="3">
      <t>yang</t>
    </rPh>
    <phoneticPr fontId="2" type="noConversion"/>
  </si>
  <si>
    <t>宁波教育局大数据分析可视化平台</t>
    <phoneticPr fontId="2" type="noConversion"/>
  </si>
  <si>
    <t>浙大实习生</t>
    <rPh sb="0" eb="1">
      <t>zhe d</t>
    </rPh>
    <rPh sb="2" eb="3">
      <t>shi x s</t>
    </rPh>
    <phoneticPr fontId="2" type="noConversion"/>
  </si>
  <si>
    <t>吴爽</t>
    <rPh sb="0" eb="1">
      <t>wu</t>
    </rPh>
    <rPh sb="1" eb="2">
      <t>shuang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</si>
</sst>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.00_ ;_ * \-#,##0.00_ ;_ * &quot;-&quot;??_ ;_ @_ "/>
    <numFmt numFmtId="177" formatCode="0.00_ "/>
    <numFmt numFmtId="178" formatCode="[$-F800]dddd\,\ mmmm\ dd\,\ yyyy"/>
    <numFmt numFmtId="179" formatCode="#,##0.00_ ;[Red]\-#,##0.00\ "/>
    <numFmt numFmtId="180" formatCode="0_ "/>
    <numFmt numFmtId="181" formatCode="#,##0.00_ "/>
    <numFmt numFmtId="182" formatCode="yyyy\-mm\-dd;@"/>
  </numFmts>
  <fonts count="1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"/>
      <family val="2"/>
      <charset val="134"/>
    </font>
    <font>
      <sz val="10"/>
      <color theme="1"/>
      <name val="Arial "/>
    </font>
    <font>
      <b/>
      <sz val="9"/>
      <color theme="1"/>
      <name val="Arial "/>
    </font>
    <font>
      <b/>
      <sz val="10"/>
      <color theme="1"/>
      <name val="Arial "/>
    </font>
    <font>
      <sz val="10"/>
      <color theme="1"/>
      <name val="SimSun"/>
      <family val="3"/>
      <charset val="134"/>
    </font>
    <font>
      <sz val="10"/>
      <color theme="1"/>
      <name val="Arial"/>
      <family val="2"/>
    </font>
    <font>
      <sz val="10"/>
      <color theme="1"/>
      <name val="Arial "/>
      <family val="3"/>
      <charset val="134"/>
    </font>
    <font>
      <b/>
      <sz val="10"/>
      <color theme="1"/>
      <name val="SimSun"/>
      <family val="3"/>
      <charset val="134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Arial 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9" fontId="4" fillId="0" borderId="3" xfId="0" applyNumberFormat="1" applyFont="1" applyBorder="1">
      <alignment vertical="center"/>
    </xf>
    <xf numFmtId="9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2" fontId="4" fillId="0" borderId="0" xfId="0" applyNumberFormat="1" applyFont="1">
      <alignment vertical="center"/>
    </xf>
    <xf numFmtId="177" fontId="4" fillId="0" borderId="6" xfId="0" applyNumberFormat="1" applyFont="1" applyBorder="1" applyAlignment="1">
      <alignment horizontal="right" vertical="center"/>
    </xf>
    <xf numFmtId="0" fontId="4" fillId="0" borderId="7" xfId="0" applyFont="1" applyBorder="1">
      <alignment vertical="center"/>
    </xf>
    <xf numFmtId="177" fontId="4" fillId="0" borderId="8" xfId="0" applyNumberFormat="1" applyFont="1" applyBorder="1">
      <alignment vertical="center"/>
    </xf>
    <xf numFmtId="0" fontId="4" fillId="0" borderId="8" xfId="0" applyFont="1" applyBorder="1">
      <alignment vertical="center"/>
    </xf>
    <xf numFmtId="2" fontId="4" fillId="0" borderId="8" xfId="0" applyNumberFormat="1" applyFont="1" applyBorder="1">
      <alignment vertical="center"/>
    </xf>
    <xf numFmtId="0" fontId="4" fillId="0" borderId="9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176" fontId="4" fillId="0" borderId="0" xfId="1" applyFont="1" applyAlignment="1">
      <alignment horizontal="center" vertical="center"/>
    </xf>
    <xf numFmtId="176" fontId="4" fillId="0" borderId="0" xfId="1" applyFo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3" xfId="1" applyFont="1" applyBorder="1">
      <alignment vertical="center"/>
    </xf>
    <xf numFmtId="176" fontId="4" fillId="0" borderId="3" xfId="1" applyFont="1" applyBorder="1" applyAlignment="1">
      <alignment horizontal="right" vertical="center"/>
    </xf>
    <xf numFmtId="176" fontId="4" fillId="0" borderId="8" xfId="1" applyFont="1" applyBorder="1">
      <alignment vertical="center"/>
    </xf>
    <xf numFmtId="176" fontId="3" fillId="0" borderId="0" xfId="1" applyFont="1">
      <alignment vertical="center"/>
    </xf>
    <xf numFmtId="176" fontId="4" fillId="0" borderId="11" xfId="1" applyFont="1" applyBorder="1">
      <alignment vertical="center"/>
    </xf>
    <xf numFmtId="178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9" fontId="3" fillId="0" borderId="0" xfId="2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0" xfId="0" applyFont="1" applyFill="1">
      <alignment vertical="center"/>
    </xf>
    <xf numFmtId="176" fontId="4" fillId="2" borderId="0" xfId="1" applyFont="1" applyFill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/>
    </xf>
    <xf numFmtId="176" fontId="4" fillId="4" borderId="0" xfId="1" applyFont="1" applyFill="1" applyAlignment="1">
      <alignment horizontal="center" vertical="center"/>
    </xf>
    <xf numFmtId="9" fontId="4" fillId="4" borderId="0" xfId="0" applyNumberFormat="1" applyFont="1" applyFill="1" applyAlignment="1">
      <alignment horizontal="center" vertical="center"/>
    </xf>
    <xf numFmtId="0" fontId="4" fillId="4" borderId="0" xfId="0" applyFont="1" applyFill="1">
      <alignment vertical="center"/>
    </xf>
    <xf numFmtId="176" fontId="4" fillId="0" borderId="8" xfId="0" applyNumberFormat="1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76" fontId="4" fillId="2" borderId="5" xfId="1" applyFont="1" applyFill="1" applyBorder="1">
      <alignment vertical="center"/>
    </xf>
    <xf numFmtId="176" fontId="4" fillId="0" borderId="6" xfId="1" applyFont="1" applyBorder="1">
      <alignment vertical="center"/>
    </xf>
    <xf numFmtId="176" fontId="4" fillId="4" borderId="5" xfId="1" applyFont="1" applyFill="1" applyBorder="1">
      <alignment vertical="center"/>
    </xf>
    <xf numFmtId="178" fontId="4" fillId="2" borderId="0" xfId="0" applyNumberFormat="1" applyFont="1" applyFill="1">
      <alignment vertical="center"/>
    </xf>
    <xf numFmtId="0" fontId="4" fillId="2" borderId="6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176" fontId="4" fillId="0" borderId="7" xfId="1" applyFont="1" applyBorder="1">
      <alignment vertical="center"/>
    </xf>
    <xf numFmtId="176" fontId="4" fillId="0" borderId="9" xfId="1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4" fillId="0" borderId="7" xfId="0" applyNumberFormat="1" applyFont="1" applyBorder="1">
      <alignment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81" fontId="4" fillId="2" borderId="0" xfId="0" applyNumberFormat="1" applyFont="1" applyFill="1">
      <alignment vertical="center"/>
    </xf>
    <xf numFmtId="0" fontId="4" fillId="4" borderId="6" xfId="0" applyFont="1" applyFill="1" applyBorder="1">
      <alignment vertical="center"/>
    </xf>
    <xf numFmtId="180" fontId="4" fillId="0" borderId="0" xfId="1" applyNumberFormat="1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5" xfId="0" applyFont="1" applyBorder="1">
      <alignment vertical="center"/>
    </xf>
    <xf numFmtId="176" fontId="4" fillId="0" borderId="0" xfId="1" applyFont="1" applyAlignment="1">
      <alignment horizontal="right" vertical="center"/>
    </xf>
    <xf numFmtId="9" fontId="4" fillId="0" borderId="0" xfId="0" applyNumberFormat="1" applyFont="1">
      <alignment vertical="center"/>
    </xf>
    <xf numFmtId="9" fontId="4" fillId="0" borderId="0" xfId="0" applyNumberFormat="1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6" fillId="0" borderId="10" xfId="0" applyFont="1" applyBorder="1">
      <alignment vertical="center"/>
    </xf>
    <xf numFmtId="179" fontId="3" fillId="0" borderId="0" xfId="0" applyNumberFormat="1" applyFont="1">
      <alignment vertical="center"/>
    </xf>
    <xf numFmtId="179" fontId="3" fillId="0" borderId="8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9" fontId="3" fillId="4" borderId="3" xfId="0" applyNumberFormat="1" applyFont="1" applyFill="1" applyBorder="1">
      <alignment vertical="center"/>
    </xf>
    <xf numFmtId="9" fontId="3" fillId="0" borderId="0" xfId="0" applyNumberFormat="1" applyFont="1">
      <alignment vertical="center"/>
    </xf>
    <xf numFmtId="0" fontId="9" fillId="0" borderId="5" xfId="0" applyFont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177" fontId="4" fillId="0" borderId="16" xfId="0" applyNumberFormat="1" applyFont="1" applyBorder="1">
      <alignment vertical="center"/>
    </xf>
    <xf numFmtId="179" fontId="4" fillId="0" borderId="16" xfId="0" applyNumberFormat="1" applyFont="1" applyBorder="1" applyAlignment="1">
      <alignment horizontal="right" vertical="center"/>
    </xf>
    <xf numFmtId="179" fontId="4" fillId="4" borderId="16" xfId="0" applyNumberFormat="1" applyFont="1" applyFill="1" applyBorder="1" applyAlignment="1">
      <alignment horizontal="right" vertical="center"/>
    </xf>
    <xf numFmtId="179" fontId="4" fillId="0" borderId="16" xfId="0" applyNumberFormat="1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79" fontId="4" fillId="0" borderId="18" xfId="0" applyNumberFormat="1" applyFont="1" applyBorder="1" applyAlignment="1">
      <alignment horizontal="right"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180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>
      <alignment vertical="center"/>
    </xf>
    <xf numFmtId="179" fontId="4" fillId="0" borderId="20" xfId="0" applyNumberFormat="1" applyFont="1" applyBorder="1" applyAlignment="1">
      <alignment horizontal="right" vertical="center"/>
    </xf>
    <xf numFmtId="179" fontId="4" fillId="4" borderId="20" xfId="0" applyNumberFormat="1" applyFont="1" applyFill="1" applyBorder="1" applyAlignment="1">
      <alignment horizontal="right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10" fontId="4" fillId="2" borderId="0" xfId="1" applyNumberFormat="1" applyFont="1" applyFill="1" applyAlignment="1">
      <alignment horizontal="center" vertical="center"/>
    </xf>
    <xf numFmtId="10" fontId="4" fillId="2" borderId="0" xfId="0" applyNumberFormat="1" applyFont="1" applyFill="1">
      <alignment vertical="center"/>
    </xf>
    <xf numFmtId="182" fontId="3" fillId="2" borderId="0" xfId="0" applyNumberFormat="1" applyFont="1" applyFill="1" applyAlignment="1">
      <alignment horizontal="left"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0" fillId="0" borderId="1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179" fontId="4" fillId="0" borderId="27" xfId="0" applyNumberFormat="1" applyFont="1" applyBorder="1" applyAlignment="1">
      <alignment horizontal="right" vertical="center"/>
    </xf>
    <xf numFmtId="0" fontId="4" fillId="0" borderId="18" xfId="0" applyFont="1" applyBorder="1">
      <alignment vertical="center"/>
    </xf>
    <xf numFmtId="0" fontId="4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176" fontId="13" fillId="0" borderId="0" xfId="1" applyFont="1" applyFill="1">
      <alignment vertical="center"/>
    </xf>
    <xf numFmtId="0" fontId="13" fillId="0" borderId="1" xfId="0" applyFont="1" applyBorder="1">
      <alignment vertical="center"/>
    </xf>
    <xf numFmtId="0" fontId="13" fillId="0" borderId="28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2" fillId="2" borderId="0" xfId="0" applyFont="1" applyFill="1">
      <alignment vertical="center"/>
    </xf>
    <xf numFmtId="0" fontId="3" fillId="2" borderId="0" xfId="0" quotePrefix="1" applyFont="1" applyFill="1">
      <alignment vertical="center"/>
    </xf>
    <xf numFmtId="0" fontId="3" fillId="0" borderId="25" xfId="0" applyFont="1" applyBorder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fin lian" id="{3E8BE733-978F-4070-AE24-7FD4F0631807}" userId="Elfin lian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19-02-21T11:00:48.05" personId="{3E8BE733-978F-4070-AE24-7FD4F0631807}" id="{DB64ABF8-93F7-42AE-A0B5-C506C85620C7}">
    <text>同订单编号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0"/>
  <sheetViews>
    <sheetView showGridLines="0" tabSelected="1" zoomScale="118" workbookViewId="0">
      <selection activeCell="B11" sqref="B11"/>
    </sheetView>
  </sheetViews>
  <sheetFormatPr baseColWidth="10" defaultColWidth="7.5" defaultRowHeight="13"/>
  <cols>
    <col min="1" max="1" width="11.33203125" style="1" customWidth="1"/>
    <col min="2" max="2" width="20" style="1" customWidth="1"/>
    <col min="3" max="3" width="8.33203125" style="1" customWidth="1"/>
    <col min="4" max="4" width="17" style="1" customWidth="1"/>
    <col min="5" max="5" width="7.6640625" style="1" bestFit="1" customWidth="1"/>
    <col min="6" max="6" width="20.5" style="1" customWidth="1"/>
    <col min="7" max="7" width="18.83203125" style="1" customWidth="1"/>
    <col min="8" max="8" width="11.33203125" style="1" customWidth="1"/>
    <col min="9" max="9" width="16.33203125" style="1" customWidth="1"/>
    <col min="10" max="10" width="11" style="1" bestFit="1" customWidth="1"/>
    <col min="11" max="11" width="16.33203125" style="1" bestFit="1" customWidth="1"/>
    <col min="12" max="16384" width="7.5" style="1"/>
  </cols>
  <sheetData>
    <row r="2" spans="2:12">
      <c r="B2" s="1" t="s">
        <v>0</v>
      </c>
      <c r="C2" s="21" t="str">
        <f>销售清单!C3</f>
        <v>A0001</v>
      </c>
      <c r="D2" s="1" t="s">
        <v>1</v>
      </c>
      <c r="E2" s="1" t="s">
        <v>144</v>
      </c>
      <c r="G2" s="1" t="s">
        <v>52</v>
      </c>
      <c r="H2" s="21" t="str">
        <f>销售清单!J3</f>
        <v>上海驻云信息科技有限公司</v>
      </c>
      <c r="J2" s="1" t="s">
        <v>4</v>
      </c>
      <c r="K2" s="21" t="str">
        <f>销售清单!J5</f>
        <v>杭州</v>
      </c>
    </row>
    <row r="3" spans="2:12">
      <c r="B3" s="1" t="s">
        <v>6</v>
      </c>
      <c r="C3" s="21" t="str">
        <f>销售清单!C5</f>
        <v>2月</v>
      </c>
      <c r="D3" s="1" t="s">
        <v>5</v>
      </c>
      <c r="E3" s="21"/>
      <c r="F3" s="1" t="str">
        <f>项目人员成本!K2</f>
        <v>新业务有技术积累</v>
      </c>
      <c r="G3" s="1" t="s">
        <v>10</v>
      </c>
      <c r="H3" s="74">
        <f>项目人员成本!H3</f>
        <v>8</v>
      </c>
      <c r="J3" s="1" t="s">
        <v>3</v>
      </c>
      <c r="K3" s="21">
        <f>销售清单!J4</f>
        <v>18905845992</v>
      </c>
    </row>
    <row r="4" spans="2:12">
      <c r="B4" s="1" t="s">
        <v>8</v>
      </c>
      <c r="C4" s="21" t="str">
        <f>项目人员成本!E2</f>
        <v>程学林</v>
      </c>
      <c r="D4" s="1" t="s">
        <v>9</v>
      </c>
      <c r="E4" s="21"/>
      <c r="G4" s="1" t="s">
        <v>2</v>
      </c>
      <c r="H4" s="21" t="str">
        <f>销售清单!C4</f>
        <v>李渊辰</v>
      </c>
      <c r="J4" s="1" t="s">
        <v>53</v>
      </c>
      <c r="K4" s="21" t="str">
        <f>销售清单!G4</f>
        <v>18657118911</v>
      </c>
    </row>
    <row r="6" spans="2:12">
      <c r="F6" s="30" t="s">
        <v>7</v>
      </c>
      <c r="G6" s="30" t="s">
        <v>51</v>
      </c>
      <c r="H6" s="30" t="s">
        <v>50</v>
      </c>
    </row>
    <row r="7" spans="2:12">
      <c r="F7" s="70">
        <f>项目人员成本!C3</f>
        <v>43586</v>
      </c>
      <c r="G7" s="70">
        <f>项目人员成本!E3</f>
        <v>43738</v>
      </c>
      <c r="H7" s="30">
        <f>MONTH(G7-F7)</f>
        <v>5</v>
      </c>
    </row>
    <row r="8" spans="2:12" ht="14" thickBot="1">
      <c r="D8" s="22" t="s">
        <v>16</v>
      </c>
      <c r="E8" s="22"/>
      <c r="F8" s="22" t="s">
        <v>17</v>
      </c>
      <c r="G8" s="22" t="s">
        <v>21</v>
      </c>
      <c r="K8" s="1" t="s">
        <v>61</v>
      </c>
    </row>
    <row r="9" spans="2:12">
      <c r="B9" s="77" t="s">
        <v>86</v>
      </c>
      <c r="C9" s="3"/>
      <c r="D9" s="24"/>
      <c r="E9" s="24"/>
      <c r="F9" s="24"/>
      <c r="G9" s="25"/>
      <c r="H9" s="3"/>
      <c r="I9" s="4"/>
      <c r="J9" s="5"/>
      <c r="K9" s="6"/>
    </row>
    <row r="10" spans="2:12" ht="7.5" customHeight="1">
      <c r="B10" s="78"/>
      <c r="C10" s="8"/>
      <c r="D10" s="21"/>
      <c r="E10" s="21"/>
      <c r="F10" s="21"/>
      <c r="G10" s="79"/>
      <c r="H10" s="8"/>
      <c r="I10" s="80"/>
      <c r="J10" s="81"/>
      <c r="K10" s="82"/>
    </row>
    <row r="11" spans="2:12">
      <c r="B11" s="7" t="s">
        <v>11</v>
      </c>
      <c r="C11" s="8"/>
      <c r="D11" s="20">
        <f>销售清单!D19</f>
        <v>300000</v>
      </c>
      <c r="E11" s="20"/>
      <c r="F11" s="20">
        <v>300000</v>
      </c>
      <c r="G11" s="21">
        <f>D11-F11</f>
        <v>0</v>
      </c>
      <c r="H11" s="8"/>
      <c r="I11" s="8"/>
      <c r="J11" s="9"/>
      <c r="K11" s="10"/>
      <c r="L11" s="8"/>
    </row>
    <row r="12" spans="2:12">
      <c r="B12" s="7" t="s">
        <v>13</v>
      </c>
      <c r="C12" s="8"/>
      <c r="D12" s="21">
        <f>销售清单!H19</f>
        <v>283018.87</v>
      </c>
      <c r="E12" s="21"/>
      <c r="F12" s="21">
        <f>销售清单!L19</f>
        <v>0</v>
      </c>
      <c r="G12" s="21">
        <f t="shared" ref="G12:G13" si="0">D12-F12</f>
        <v>283018.87</v>
      </c>
      <c r="H12" s="8"/>
      <c r="I12" s="8"/>
      <c r="J12" s="9"/>
      <c r="K12" s="10"/>
      <c r="L12" s="8"/>
    </row>
    <row r="13" spans="2:12">
      <c r="B13" s="7" t="s">
        <v>58</v>
      </c>
      <c r="C13" s="8"/>
      <c r="D13" s="21">
        <f>销售清单!I19</f>
        <v>16981.13</v>
      </c>
      <c r="E13" s="21"/>
      <c r="F13" s="21">
        <f>销售清单!M19</f>
        <v>0</v>
      </c>
      <c r="G13" s="21">
        <f t="shared" si="0"/>
        <v>16981.13</v>
      </c>
      <c r="H13" s="8"/>
      <c r="I13" s="8"/>
      <c r="J13" s="9"/>
      <c r="K13" s="10"/>
      <c r="L13" s="8"/>
    </row>
    <row r="14" spans="2:12" ht="14" thickBot="1">
      <c r="B14" s="11"/>
      <c r="C14" s="12"/>
      <c r="D14" s="26"/>
      <c r="E14" s="26"/>
      <c r="F14" s="26"/>
      <c r="G14" s="26"/>
      <c r="H14" s="13"/>
      <c r="I14" s="14"/>
      <c r="J14" s="12"/>
      <c r="K14" s="15"/>
      <c r="L14" s="8"/>
    </row>
    <row r="15" spans="2:12" ht="14" thickBot="1">
      <c r="B15" s="8"/>
      <c r="C15" s="8"/>
      <c r="D15" s="21"/>
      <c r="E15" s="21"/>
      <c r="F15" s="21"/>
      <c r="G15" s="27"/>
      <c r="H15" s="8"/>
      <c r="I15" s="8"/>
      <c r="J15" s="8"/>
      <c r="K15" s="8"/>
      <c r="L15" s="8"/>
    </row>
    <row r="16" spans="2:12">
      <c r="B16" s="77" t="s">
        <v>19</v>
      </c>
      <c r="C16" s="3"/>
      <c r="D16" s="24"/>
      <c r="E16" s="24"/>
      <c r="F16" s="24"/>
      <c r="G16" s="24"/>
      <c r="H16" s="3"/>
      <c r="I16" s="3"/>
      <c r="J16" s="3"/>
      <c r="K16" s="16"/>
      <c r="L16" s="8"/>
    </row>
    <row r="17" spans="2:12" ht="14" customHeight="1">
      <c r="B17" s="7"/>
      <c r="C17" s="8"/>
      <c r="D17" s="21"/>
      <c r="E17" s="21"/>
      <c r="F17" s="21"/>
      <c r="G17" s="21"/>
      <c r="H17" s="8"/>
      <c r="I17" s="8"/>
      <c r="J17" s="8"/>
      <c r="K17" s="17"/>
      <c r="L17" s="8"/>
    </row>
    <row r="18" spans="2:12">
      <c r="B18" s="7" t="s">
        <v>37</v>
      </c>
      <c r="C18" s="8"/>
      <c r="D18" s="21">
        <f>采购清单!E20</f>
        <v>0</v>
      </c>
      <c r="E18" s="21"/>
      <c r="F18" s="21">
        <f>采购清单!I20</f>
        <v>0</v>
      </c>
      <c r="G18" s="21">
        <f>D18-F18</f>
        <v>0</v>
      </c>
      <c r="H18" s="8"/>
      <c r="I18" s="8"/>
      <c r="J18" s="8"/>
      <c r="K18" s="17"/>
      <c r="L18" s="8"/>
    </row>
    <row r="19" spans="2:12">
      <c r="B19" s="7" t="s">
        <v>15</v>
      </c>
      <c r="C19" s="8"/>
      <c r="D19" s="21">
        <f>采购清单!H20</f>
        <v>0</v>
      </c>
      <c r="E19" s="21"/>
      <c r="F19" s="21">
        <f>采购清单!L20</f>
        <v>0</v>
      </c>
      <c r="G19" s="21">
        <f t="shared" ref="G19:G23" si="1">D19-F19</f>
        <v>0</v>
      </c>
      <c r="H19" s="8"/>
      <c r="I19" s="8"/>
      <c r="J19" s="8"/>
      <c r="K19" s="17"/>
      <c r="L19" s="8"/>
    </row>
    <row r="20" spans="2:12">
      <c r="B20" s="7" t="s">
        <v>14</v>
      </c>
      <c r="C20" s="8"/>
      <c r="D20" s="21">
        <f>项目人员成本!M18</f>
        <v>147400</v>
      </c>
      <c r="E20" s="21"/>
      <c r="F20" s="21">
        <f>项目人员成本!N18</f>
        <v>3500</v>
      </c>
      <c r="G20" s="21">
        <f t="shared" si="1"/>
        <v>143900</v>
      </c>
      <c r="H20" s="8"/>
      <c r="I20" s="8"/>
      <c r="J20" s="8"/>
      <c r="K20" s="17"/>
      <c r="L20" s="8"/>
    </row>
    <row r="21" spans="2:12">
      <c r="B21" s="7"/>
      <c r="C21" s="8"/>
      <c r="D21" s="21"/>
      <c r="E21" s="21"/>
      <c r="F21" s="21"/>
      <c r="G21" s="21">
        <f t="shared" si="1"/>
        <v>0</v>
      </c>
      <c r="H21" s="8"/>
      <c r="I21" s="8"/>
      <c r="J21" s="8"/>
      <c r="K21" s="17"/>
      <c r="L21" s="8"/>
    </row>
    <row r="22" spans="2:12">
      <c r="B22" s="7" t="s">
        <v>59</v>
      </c>
      <c r="C22" s="8"/>
      <c r="D22" s="21">
        <f>采购清单!G20</f>
        <v>0</v>
      </c>
      <c r="E22" s="21"/>
      <c r="F22" s="21">
        <f>采购清单!K20</f>
        <v>0</v>
      </c>
      <c r="G22" s="21">
        <f t="shared" si="1"/>
        <v>0</v>
      </c>
      <c r="H22" s="8"/>
      <c r="I22" s="8"/>
      <c r="J22" s="8"/>
      <c r="K22" s="17"/>
      <c r="L22" s="8"/>
    </row>
    <row r="23" spans="2:12" ht="14" thickBot="1">
      <c r="B23" s="11" t="s">
        <v>20</v>
      </c>
      <c r="C23" s="13"/>
      <c r="D23" s="26">
        <f>SUM(D19:D22)</f>
        <v>147400</v>
      </c>
      <c r="E23" s="26">
        <f t="shared" ref="E23:F23" si="2">SUM(E19:E22)</f>
        <v>0</v>
      </c>
      <c r="F23" s="26">
        <f t="shared" si="2"/>
        <v>3500</v>
      </c>
      <c r="G23" s="26">
        <f t="shared" si="1"/>
        <v>143900</v>
      </c>
      <c r="H23" s="13"/>
      <c r="I23" s="13"/>
      <c r="J23" s="13"/>
      <c r="K23" s="15"/>
      <c r="L23" s="8"/>
    </row>
    <row r="24" spans="2:12" ht="14" thickBot="1">
      <c r="B24" s="8"/>
      <c r="C24" s="8"/>
      <c r="D24" s="21"/>
      <c r="E24" s="21"/>
      <c r="F24" s="21"/>
      <c r="G24" s="27"/>
      <c r="H24" s="8"/>
      <c r="I24" s="8"/>
      <c r="J24" s="8"/>
      <c r="K24" s="8"/>
      <c r="L24" s="8"/>
    </row>
    <row r="25" spans="2:12" ht="14" thickBot="1">
      <c r="B25" s="83" t="s">
        <v>27</v>
      </c>
      <c r="C25" s="18"/>
      <c r="D25" s="28">
        <f>ROUND((D13-D22)*7%,2)+ROUND(D11*0.03%,2)</f>
        <v>1278.68</v>
      </c>
      <c r="E25" s="28">
        <f t="shared" ref="E25:F25" si="3">ROUND((E13-E22)*7%,2)+ROUND(E11*0.03%,2)</f>
        <v>0</v>
      </c>
      <c r="F25" s="28">
        <f t="shared" si="3"/>
        <v>90</v>
      </c>
      <c r="G25" s="28">
        <f>D25-F25</f>
        <v>1188.68</v>
      </c>
      <c r="H25" s="18"/>
      <c r="I25" s="18"/>
      <c r="J25" s="18"/>
      <c r="K25" s="19"/>
      <c r="L25" s="8"/>
    </row>
    <row r="26" spans="2:12" ht="14" thickBot="1">
      <c r="B26" s="8"/>
      <c r="C26" s="8"/>
      <c r="D26" s="21"/>
      <c r="E26" s="21"/>
      <c r="F26" s="21"/>
      <c r="G26" s="27"/>
      <c r="H26" s="8"/>
      <c r="I26" s="8"/>
      <c r="J26" s="8"/>
      <c r="K26" s="8"/>
      <c r="L26" s="8"/>
    </row>
    <row r="27" spans="2:12">
      <c r="B27" s="77" t="s">
        <v>22</v>
      </c>
      <c r="C27" s="3"/>
      <c r="D27" s="24"/>
      <c r="E27" s="24"/>
      <c r="F27" s="24"/>
      <c r="G27" s="24"/>
      <c r="H27" s="3"/>
      <c r="I27" s="3"/>
      <c r="J27" s="3"/>
      <c r="K27" s="16"/>
      <c r="L27" s="8"/>
    </row>
    <row r="28" spans="2:12" ht="9" customHeight="1">
      <c r="B28" s="7"/>
      <c r="C28" s="8"/>
      <c r="D28" s="21"/>
      <c r="E28" s="21"/>
      <c r="F28" s="21"/>
      <c r="G28" s="21"/>
      <c r="H28" s="8"/>
      <c r="I28" s="8"/>
      <c r="J28" s="8"/>
      <c r="K28" s="17"/>
      <c r="L28" s="8"/>
    </row>
    <row r="29" spans="2:12">
      <c r="B29" s="7" t="s">
        <v>23</v>
      </c>
      <c r="C29" s="8"/>
      <c r="D29" s="21">
        <f>项目人员成本!C23</f>
        <v>0</v>
      </c>
      <c r="E29" s="21"/>
      <c r="F29" s="21">
        <f>项目人员成本!D23</f>
        <v>0</v>
      </c>
      <c r="G29" s="21">
        <f t="shared" ref="G29:G34" si="4">D29-F29</f>
        <v>0</v>
      </c>
      <c r="H29" s="8"/>
      <c r="I29" s="8"/>
      <c r="J29" s="8"/>
      <c r="K29" s="17"/>
      <c r="L29" s="8"/>
    </row>
    <row r="30" spans="2:12">
      <c r="B30" s="7" t="s">
        <v>24</v>
      </c>
      <c r="C30" s="8"/>
      <c r="D30" s="21">
        <f>项目人员成本!C24</f>
        <v>153600</v>
      </c>
      <c r="E30" s="21"/>
      <c r="F30" s="21">
        <f>项目人员成本!D24</f>
        <v>0</v>
      </c>
      <c r="G30" s="21">
        <f t="shared" si="4"/>
        <v>153600</v>
      </c>
      <c r="H30" s="8"/>
      <c r="I30" s="8"/>
      <c r="J30" s="8"/>
      <c r="K30" s="17"/>
      <c r="L30" s="8"/>
    </row>
    <row r="31" spans="2:12">
      <c r="B31" s="7"/>
      <c r="C31" s="8"/>
      <c r="D31" s="21"/>
      <c r="E31" s="21"/>
      <c r="F31" s="21"/>
      <c r="G31" s="21">
        <f t="shared" si="4"/>
        <v>0</v>
      </c>
      <c r="H31" s="8"/>
      <c r="I31" s="8"/>
      <c r="J31" s="8"/>
      <c r="K31" s="17"/>
      <c r="L31" s="8"/>
    </row>
    <row r="32" spans="2:12">
      <c r="B32" s="7" t="s">
        <v>79</v>
      </c>
      <c r="C32" s="8"/>
      <c r="D32" s="21">
        <f>项目人员成本!C26</f>
        <v>10000</v>
      </c>
      <c r="E32" s="21"/>
      <c r="F32" s="21">
        <f>项目人员成本!D26</f>
        <v>0</v>
      </c>
      <c r="G32" s="21">
        <f t="shared" si="4"/>
        <v>10000</v>
      </c>
      <c r="H32" s="8"/>
      <c r="I32" s="8"/>
      <c r="J32" s="8"/>
      <c r="K32" s="17"/>
      <c r="L32" s="8"/>
    </row>
    <row r="33" spans="2:12">
      <c r="B33" s="7"/>
      <c r="C33" s="8"/>
      <c r="D33" s="21"/>
      <c r="E33" s="21"/>
      <c r="F33" s="21"/>
      <c r="G33" s="21">
        <f t="shared" si="4"/>
        <v>0</v>
      </c>
      <c r="H33" s="8"/>
      <c r="I33" s="8"/>
      <c r="J33" s="8"/>
      <c r="K33" s="17"/>
      <c r="L33" s="8"/>
    </row>
    <row r="34" spans="2:12" ht="14" thickBot="1">
      <c r="B34" s="11" t="s">
        <v>25</v>
      </c>
      <c r="C34" s="13"/>
      <c r="D34" s="26">
        <f>SUM(D29:D32)</f>
        <v>163600</v>
      </c>
      <c r="E34" s="26">
        <f>SUM(E29:E32)</f>
        <v>0</v>
      </c>
      <c r="F34" s="26">
        <f>SUM(F29:F32)</f>
        <v>0</v>
      </c>
      <c r="G34" s="26">
        <f t="shared" si="4"/>
        <v>163600</v>
      </c>
      <c r="H34" s="13"/>
      <c r="I34" s="13"/>
      <c r="J34" s="13"/>
      <c r="K34" s="15"/>
      <c r="L34" s="8"/>
    </row>
    <row r="35" spans="2:12" ht="14" thickBot="1">
      <c r="B35" s="8"/>
      <c r="C35" s="8"/>
      <c r="D35" s="21"/>
      <c r="E35" s="21"/>
      <c r="F35" s="21"/>
      <c r="G35" s="21"/>
      <c r="H35" s="8"/>
      <c r="I35" s="8"/>
      <c r="J35" s="8"/>
      <c r="K35" s="8"/>
      <c r="L35" s="8"/>
    </row>
    <row r="36" spans="2:12">
      <c r="B36" s="77" t="s">
        <v>87</v>
      </c>
      <c r="C36" s="3"/>
      <c r="D36" s="24"/>
      <c r="E36" s="24"/>
      <c r="F36" s="24"/>
      <c r="G36" s="24"/>
      <c r="H36" s="3"/>
      <c r="I36" s="3"/>
      <c r="J36" s="3"/>
      <c r="K36" s="16"/>
      <c r="L36" s="8"/>
    </row>
    <row r="37" spans="2:12" ht="10.5" customHeight="1">
      <c r="B37" s="78"/>
      <c r="C37" s="8"/>
      <c r="D37" s="21"/>
      <c r="E37" s="21"/>
      <c r="F37" s="21"/>
      <c r="G37" s="21"/>
      <c r="H37" s="8"/>
      <c r="I37" s="8"/>
      <c r="J37" s="8"/>
      <c r="K37" s="17"/>
      <c r="L37" s="8"/>
    </row>
    <row r="38" spans="2:12">
      <c r="B38" s="7" t="s">
        <v>26</v>
      </c>
      <c r="C38" s="8"/>
      <c r="D38" s="21">
        <f>D12-D23-D25-D34</f>
        <v>-29259.809999999998</v>
      </c>
      <c r="E38" s="21"/>
      <c r="F38" s="21">
        <f>F12-F23-F25-F34</f>
        <v>-3590</v>
      </c>
      <c r="G38" s="137">
        <f>G12-G23-G25-G34</f>
        <v>-25669.809999999998</v>
      </c>
      <c r="H38" s="8"/>
      <c r="I38" s="8"/>
      <c r="J38" s="8"/>
      <c r="K38" s="17"/>
      <c r="L38" s="8"/>
    </row>
    <row r="39" spans="2:12">
      <c r="B39" s="31" t="s">
        <v>60</v>
      </c>
      <c r="D39" s="36">
        <f>D38/D12</f>
        <v>-0.10338466124184581</v>
      </c>
      <c r="E39" s="36"/>
      <c r="F39" s="36" t="e">
        <f t="shared" ref="F39" si="5">F38/F12</f>
        <v>#DIV/0!</v>
      </c>
      <c r="G39" s="36"/>
      <c r="K39" s="32"/>
    </row>
    <row r="40" spans="2:12">
      <c r="B40" s="31"/>
      <c r="K40" s="32"/>
    </row>
    <row r="41" spans="2:12">
      <c r="B41" s="31"/>
      <c r="K41" s="32"/>
    </row>
    <row r="42" spans="2:12" ht="14" thickBot="1">
      <c r="B42" s="33"/>
      <c r="C42" s="34"/>
      <c r="D42" s="34"/>
      <c r="E42" s="34"/>
      <c r="F42" s="34"/>
      <c r="G42" s="34"/>
      <c r="H42" s="34"/>
      <c r="I42" s="34"/>
      <c r="J42" s="34"/>
      <c r="K42" s="35"/>
    </row>
    <row r="43" spans="2:12" ht="14" thickBot="1"/>
    <row r="44" spans="2:12">
      <c r="B44" s="77" t="s">
        <v>85</v>
      </c>
      <c r="C44" s="87"/>
      <c r="D44" s="86">
        <f>ROUND(D38*C44,0)</f>
        <v>0</v>
      </c>
      <c r="E44" s="86"/>
      <c r="F44" s="86">
        <f>ROUND(F38*C44,0)</f>
        <v>0</v>
      </c>
      <c r="G44" s="75"/>
      <c r="H44" s="75"/>
      <c r="I44" s="75"/>
      <c r="J44" s="75"/>
      <c r="K44" s="76"/>
    </row>
    <row r="45" spans="2:12">
      <c r="B45" s="31"/>
      <c r="C45" s="88"/>
      <c r="K45" s="32"/>
    </row>
    <row r="46" spans="2:12" ht="14">
      <c r="B46" s="136" t="s">
        <v>128</v>
      </c>
      <c r="C46" s="88">
        <v>0.08</v>
      </c>
      <c r="D46" s="84">
        <f>ROUND(D38*C46,0)</f>
        <v>-2341</v>
      </c>
      <c r="E46" s="84"/>
      <c r="F46" s="84"/>
      <c r="G46" s="84"/>
      <c r="K46" s="32"/>
    </row>
    <row r="47" spans="2:12" ht="14">
      <c r="B47" s="136" t="s">
        <v>129</v>
      </c>
      <c r="C47" s="88">
        <v>0.05</v>
      </c>
      <c r="D47" s="84">
        <f>ROUND(D46*C47,0)</f>
        <v>-117</v>
      </c>
      <c r="E47" s="84"/>
      <c r="F47" s="84"/>
      <c r="G47" s="84"/>
      <c r="K47" s="32"/>
    </row>
    <row r="48" spans="2:12" ht="14">
      <c r="B48" s="136" t="s">
        <v>130</v>
      </c>
      <c r="C48" s="88">
        <v>0.95</v>
      </c>
      <c r="D48" s="84">
        <f>ROUND(D46*C48,0)</f>
        <v>-2224</v>
      </c>
      <c r="E48" s="84"/>
      <c r="F48" s="84"/>
      <c r="G48" s="84"/>
      <c r="K48" s="32"/>
    </row>
    <row r="49" spans="2:11">
      <c r="B49" s="31"/>
      <c r="D49" s="84"/>
      <c r="E49" s="84"/>
      <c r="F49" s="84"/>
      <c r="G49" s="84"/>
      <c r="K49" s="32"/>
    </row>
    <row r="50" spans="2:11" ht="14" thickBot="1">
      <c r="B50" s="33"/>
      <c r="C50" s="34"/>
      <c r="D50" s="85"/>
      <c r="E50" s="85"/>
      <c r="F50" s="85"/>
      <c r="G50" s="85"/>
      <c r="H50" s="34"/>
      <c r="I50" s="34"/>
      <c r="J50" s="34"/>
      <c r="K50" s="3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28"/>
  <sheetViews>
    <sheetView showGridLines="0" showZeros="0" topLeftCell="A2" workbookViewId="0">
      <selection activeCell="C3" sqref="C3:I19"/>
    </sheetView>
  </sheetViews>
  <sheetFormatPr baseColWidth="10" defaultColWidth="9" defaultRowHeight="13"/>
  <cols>
    <col min="1" max="1" width="4.83203125" style="8" customWidth="1"/>
    <col min="2" max="2" width="11.5" style="8" bestFit="1" customWidth="1"/>
    <col min="3" max="3" width="11.5" style="8" customWidth="1"/>
    <col min="4" max="4" width="17.1640625" style="8" customWidth="1"/>
    <col min="5" max="5" width="12" style="8" customWidth="1"/>
    <col min="6" max="6" width="8.6640625" style="8" customWidth="1"/>
    <col min="7" max="7" width="11.1640625" style="8" bestFit="1" customWidth="1"/>
    <col min="8" max="8" width="22.33203125" style="8" customWidth="1"/>
    <col min="9" max="9" width="19.5" style="8" customWidth="1"/>
    <col min="10" max="10" width="24.6640625" style="8" customWidth="1"/>
    <col min="11" max="11" width="9.1640625" style="8" bestFit="1" customWidth="1"/>
    <col min="12" max="12" width="21.5" style="8" customWidth="1"/>
    <col min="13" max="13" width="10.33203125" style="8" bestFit="1" customWidth="1"/>
    <col min="14" max="14" width="10.5" style="8" customWidth="1"/>
    <col min="15" max="16384" width="9" style="8"/>
  </cols>
  <sheetData>
    <row r="3" spans="2:14">
      <c r="B3" s="1" t="s">
        <v>0</v>
      </c>
      <c r="C3" s="23" t="s">
        <v>69</v>
      </c>
      <c r="D3" s="1" t="s">
        <v>1</v>
      </c>
      <c r="E3" s="1"/>
      <c r="F3" s="1"/>
      <c r="G3" s="23" t="s">
        <v>70</v>
      </c>
      <c r="H3" s="1"/>
      <c r="I3" s="1" t="s">
        <v>78</v>
      </c>
      <c r="J3" s="23" t="s">
        <v>71</v>
      </c>
      <c r="K3" s="1"/>
    </row>
    <row r="4" spans="2:14" ht="14">
      <c r="B4" s="1" t="s">
        <v>2</v>
      </c>
      <c r="C4" s="146" t="s">
        <v>136</v>
      </c>
      <c r="D4" s="98" t="s">
        <v>126</v>
      </c>
      <c r="E4" s="1"/>
      <c r="F4" s="1"/>
      <c r="G4" s="147" t="s">
        <v>140</v>
      </c>
      <c r="H4" s="1"/>
      <c r="I4" s="1" t="s">
        <v>3</v>
      </c>
      <c r="J4" s="23">
        <v>18905845992</v>
      </c>
      <c r="K4" s="1"/>
      <c r="L4" s="1"/>
      <c r="M4" s="1"/>
    </row>
    <row r="5" spans="2:14" ht="14">
      <c r="B5" s="1" t="s">
        <v>6</v>
      </c>
      <c r="C5" s="23" t="s">
        <v>137</v>
      </c>
      <c r="D5" s="98" t="s">
        <v>53</v>
      </c>
      <c r="E5" s="1"/>
      <c r="F5" s="1"/>
      <c r="G5" s="146" t="s">
        <v>138</v>
      </c>
      <c r="H5" s="1"/>
      <c r="I5" s="1" t="s">
        <v>4</v>
      </c>
      <c r="J5" s="146" t="s">
        <v>139</v>
      </c>
      <c r="K5" s="1"/>
      <c r="L5" s="1"/>
      <c r="M5" s="1"/>
    </row>
    <row r="6" spans="2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4">
      <c r="B7" s="1"/>
      <c r="C7" s="1"/>
      <c r="D7" s="1"/>
      <c r="E7" s="1"/>
      <c r="F7" s="1"/>
      <c r="G7" s="1"/>
      <c r="H7" s="30" t="s">
        <v>7</v>
      </c>
      <c r="I7" s="30" t="s">
        <v>51</v>
      </c>
      <c r="J7" s="30" t="s">
        <v>50</v>
      </c>
      <c r="K7" s="1"/>
      <c r="L7" s="1"/>
      <c r="M7" s="1"/>
    </row>
    <row r="8" spans="2:14" ht="14" thickBot="1">
      <c r="B8" s="1"/>
      <c r="C8" s="1"/>
      <c r="D8" s="1"/>
      <c r="E8" s="1"/>
      <c r="F8" s="1"/>
      <c r="G8" s="1"/>
      <c r="H8" s="29">
        <v>43586</v>
      </c>
      <c r="I8" s="29">
        <v>43646</v>
      </c>
      <c r="J8" s="30">
        <f>MONTH(I8-H8)</f>
        <v>2</v>
      </c>
      <c r="K8" s="1"/>
      <c r="L8" s="1"/>
      <c r="M8" s="1"/>
    </row>
    <row r="9" spans="2:14">
      <c r="B9" s="2" t="s">
        <v>16</v>
      </c>
      <c r="C9" s="3"/>
      <c r="D9" s="3"/>
      <c r="E9" s="3"/>
      <c r="F9" s="3"/>
      <c r="G9" s="3"/>
      <c r="H9" s="3"/>
      <c r="I9" s="16"/>
      <c r="J9" s="2" t="s">
        <v>17</v>
      </c>
      <c r="K9" s="3"/>
      <c r="L9" s="3"/>
      <c r="M9" s="3"/>
      <c r="N9" s="16"/>
    </row>
    <row r="10" spans="2:14" ht="14">
      <c r="B10" s="89" t="s">
        <v>97</v>
      </c>
      <c r="C10" s="8" t="s">
        <v>54</v>
      </c>
      <c r="D10" s="37" t="s">
        <v>55</v>
      </c>
      <c r="E10" s="37" t="s">
        <v>118</v>
      </c>
      <c r="F10" s="37" t="s">
        <v>117</v>
      </c>
      <c r="G10" s="37" t="s">
        <v>12</v>
      </c>
      <c r="H10" s="37" t="s">
        <v>28</v>
      </c>
      <c r="I10" s="38" t="s">
        <v>18</v>
      </c>
      <c r="J10" s="37" t="s">
        <v>55</v>
      </c>
      <c r="K10" s="37" t="s">
        <v>12</v>
      </c>
      <c r="L10" s="37" t="s">
        <v>28</v>
      </c>
      <c r="M10" s="37" t="s">
        <v>18</v>
      </c>
      <c r="N10" s="17"/>
    </row>
    <row r="11" spans="2:14">
      <c r="B11" s="90">
        <v>1</v>
      </c>
      <c r="C11" s="40" t="s">
        <v>96</v>
      </c>
      <c r="D11" s="41">
        <v>300000</v>
      </c>
      <c r="E11" s="41">
        <v>0</v>
      </c>
      <c r="F11" s="121">
        <v>1</v>
      </c>
      <c r="G11" s="42">
        <v>0.06</v>
      </c>
      <c r="H11" s="20">
        <f>ROUND(D11/(1+G11),2)</f>
        <v>283018.87</v>
      </c>
      <c r="I11" s="38">
        <f>ROUND(D11/(1+G11)*G11,2)</f>
        <v>16981.13</v>
      </c>
      <c r="J11" s="43"/>
      <c r="K11" s="44"/>
      <c r="L11" s="20">
        <f>ROUND(J11/(1+K11),2)</f>
        <v>0</v>
      </c>
      <c r="M11" s="37">
        <f>ROUND(J11/(1+K11)*K11,2)</f>
        <v>0</v>
      </c>
      <c r="N11" s="17"/>
    </row>
    <row r="12" spans="2:14">
      <c r="B12" s="90"/>
      <c r="C12" s="40"/>
      <c r="D12" s="41"/>
      <c r="E12" s="41"/>
      <c r="F12" s="121"/>
      <c r="G12" s="42"/>
      <c r="H12" s="20"/>
      <c r="I12" s="38"/>
      <c r="J12" s="43"/>
      <c r="K12" s="44"/>
      <c r="L12" s="20"/>
      <c r="M12" s="37"/>
      <c r="N12" s="17"/>
    </row>
    <row r="13" spans="2:14">
      <c r="B13" s="39"/>
      <c r="C13" s="40"/>
      <c r="D13" s="41">
        <f t="shared" ref="D13:D17" si="0">ROUND(E13/(1-F13),0)</f>
        <v>0</v>
      </c>
      <c r="E13" s="40"/>
      <c r="F13" s="122"/>
      <c r="G13" s="42"/>
      <c r="H13" s="20">
        <f t="shared" ref="H13:H17" si="1">ROUND(D13/(1+G13),2)</f>
        <v>0</v>
      </c>
      <c r="I13" s="38">
        <f t="shared" ref="I13:I17" si="2">ROUND(D13/(1+G13)*G13,2)</f>
        <v>0</v>
      </c>
      <c r="J13" s="45"/>
      <c r="K13" s="44"/>
      <c r="L13" s="37"/>
      <c r="N13" s="17"/>
    </row>
    <row r="14" spans="2:14">
      <c r="B14" s="39"/>
      <c r="C14" s="40"/>
      <c r="D14" s="41">
        <f t="shared" si="0"/>
        <v>0</v>
      </c>
      <c r="E14" s="40"/>
      <c r="F14" s="122"/>
      <c r="G14" s="42"/>
      <c r="H14" s="20">
        <f t="shared" si="1"/>
        <v>0</v>
      </c>
      <c r="I14" s="38">
        <f t="shared" si="2"/>
        <v>0</v>
      </c>
      <c r="J14" s="45"/>
      <c r="K14" s="44"/>
      <c r="L14" s="37"/>
      <c r="N14" s="17"/>
    </row>
    <row r="15" spans="2:14">
      <c r="B15" s="39"/>
      <c r="C15" s="40"/>
      <c r="D15" s="41">
        <f t="shared" si="0"/>
        <v>0</v>
      </c>
      <c r="E15" s="40"/>
      <c r="F15" s="122"/>
      <c r="G15" s="42"/>
      <c r="H15" s="20">
        <f t="shared" si="1"/>
        <v>0</v>
      </c>
      <c r="I15" s="38">
        <f t="shared" si="2"/>
        <v>0</v>
      </c>
      <c r="J15" s="45"/>
      <c r="K15" s="44"/>
      <c r="L15" s="37"/>
      <c r="M15" s="37"/>
      <c r="N15" s="17"/>
    </row>
    <row r="16" spans="2:14">
      <c r="B16" s="39"/>
      <c r="C16" s="40"/>
      <c r="D16" s="41">
        <f t="shared" si="0"/>
        <v>0</v>
      </c>
      <c r="E16" s="40"/>
      <c r="F16" s="122"/>
      <c r="G16" s="42"/>
      <c r="H16" s="20">
        <f t="shared" si="1"/>
        <v>0</v>
      </c>
      <c r="I16" s="38">
        <f t="shared" si="2"/>
        <v>0</v>
      </c>
      <c r="J16" s="45"/>
      <c r="K16" s="44"/>
      <c r="L16" s="20"/>
      <c r="M16" s="20"/>
      <c r="N16" s="17"/>
    </row>
    <row r="17" spans="2:14">
      <c r="B17" s="39"/>
      <c r="C17" s="40"/>
      <c r="D17" s="41">
        <f t="shared" si="0"/>
        <v>0</v>
      </c>
      <c r="E17" s="40"/>
      <c r="F17" s="122"/>
      <c r="G17" s="42"/>
      <c r="H17" s="20">
        <f t="shared" si="1"/>
        <v>0</v>
      </c>
      <c r="I17" s="38">
        <f t="shared" si="2"/>
        <v>0</v>
      </c>
      <c r="J17" s="45"/>
      <c r="K17" s="44"/>
      <c r="L17" s="20"/>
      <c r="M17" s="20"/>
      <c r="N17" s="17"/>
    </row>
    <row r="18" spans="2:14">
      <c r="B18" s="7"/>
      <c r="G18" s="37"/>
      <c r="H18" s="37"/>
      <c r="I18" s="38"/>
      <c r="J18" s="7"/>
      <c r="M18" s="37"/>
      <c r="N18" s="38"/>
    </row>
    <row r="19" spans="2:14" ht="14" thickBot="1">
      <c r="B19" s="11"/>
      <c r="C19" s="13" t="s">
        <v>42</v>
      </c>
      <c r="D19" s="46">
        <f>SUM(D11:D18)</f>
        <v>300000</v>
      </c>
      <c r="E19" s="46"/>
      <c r="F19" s="46"/>
      <c r="G19" s="47"/>
      <c r="H19" s="48">
        <f>SUM(H11:H18)</f>
        <v>283018.87</v>
      </c>
      <c r="I19" s="48">
        <f>SUM(I11:I18)</f>
        <v>16981.13</v>
      </c>
      <c r="J19" s="69">
        <f>SUM(J11:J17)</f>
        <v>0</v>
      </c>
      <c r="K19" s="13"/>
      <c r="L19" s="46">
        <f>SUM(L11:L18)</f>
        <v>0</v>
      </c>
      <c r="M19" s="47">
        <f>SUM(M11:M18)</f>
        <v>0</v>
      </c>
      <c r="N19" s="49">
        <f>SUM(N11:N18)</f>
        <v>0</v>
      </c>
    </row>
    <row r="27" spans="2:14">
      <c r="B27" s="50" t="s">
        <v>56</v>
      </c>
    </row>
    <row r="28" spans="2:14">
      <c r="B28" s="50" t="s">
        <v>57</v>
      </c>
    </row>
  </sheetData>
  <phoneticPr fontId="2" type="noConversion"/>
  <dataValidations count="1">
    <dataValidation type="list" allowBlank="1" showInputMessage="1" showErrorMessage="1" sqref="G11:G17 K11:K17" xr:uid="{00000000-0002-0000-0100-000000000000}">
      <formula1>"6%,16%"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25"/>
  <sheetViews>
    <sheetView showGridLines="0" topLeftCell="C1" workbookViewId="0">
      <selection activeCell="C10" sqref="C10"/>
    </sheetView>
  </sheetViews>
  <sheetFormatPr baseColWidth="10" defaultColWidth="9" defaultRowHeight="13"/>
  <cols>
    <col min="1" max="1" width="3.5" style="8" customWidth="1"/>
    <col min="2" max="2" width="6.33203125" style="8" customWidth="1"/>
    <col min="3" max="3" width="15.83203125" style="8" customWidth="1"/>
    <col min="4" max="4" width="9" style="8"/>
    <col min="5" max="5" width="13.83203125" style="8" bestFit="1" customWidth="1"/>
    <col min="6" max="6" width="9.1640625" style="37" bestFit="1" customWidth="1"/>
    <col min="7" max="7" width="12.83203125" style="8" bestFit="1" customWidth="1"/>
    <col min="8" max="9" width="13.83203125" style="8" bestFit="1" customWidth="1"/>
    <col min="10" max="10" width="9.1640625" style="37" bestFit="1" customWidth="1"/>
    <col min="11" max="11" width="12.83203125" style="8" bestFit="1" customWidth="1"/>
    <col min="12" max="12" width="13.83203125" style="8" bestFit="1" customWidth="1"/>
    <col min="13" max="14" width="11.83203125" style="8" bestFit="1" customWidth="1"/>
    <col min="15" max="16384" width="9" style="8"/>
  </cols>
  <sheetData>
    <row r="2" spans="2:15" ht="14" thickBot="1">
      <c r="C2" s="8" t="s">
        <v>62</v>
      </c>
    </row>
    <row r="3" spans="2:15">
      <c r="B3" s="2" t="s">
        <v>33</v>
      </c>
      <c r="C3" s="3" t="s">
        <v>72</v>
      </c>
      <c r="D3" s="3" t="s">
        <v>29</v>
      </c>
      <c r="E3" s="51" t="s">
        <v>16</v>
      </c>
      <c r="F3" s="52" t="s">
        <v>12</v>
      </c>
      <c r="G3" s="52" t="s">
        <v>18</v>
      </c>
      <c r="H3" s="53" t="s">
        <v>35</v>
      </c>
      <c r="I3" s="2" t="s">
        <v>17</v>
      </c>
      <c r="J3" s="52" t="s">
        <v>12</v>
      </c>
      <c r="K3" s="52" t="s">
        <v>18</v>
      </c>
      <c r="L3" s="16" t="s">
        <v>36</v>
      </c>
      <c r="M3" s="54" t="s">
        <v>30</v>
      </c>
      <c r="N3" s="54" t="s">
        <v>31</v>
      </c>
      <c r="O3" s="55" t="s">
        <v>32</v>
      </c>
    </row>
    <row r="4" spans="2:15">
      <c r="B4" s="56">
        <v>1</v>
      </c>
      <c r="C4" s="57"/>
      <c r="D4" s="57"/>
      <c r="E4" s="58"/>
      <c r="F4" s="42"/>
      <c r="G4" s="21">
        <f>ROUND(E4/(1+F4)*F4,2)</f>
        <v>0</v>
      </c>
      <c r="H4" s="59">
        <f>E4-G4</f>
        <v>0</v>
      </c>
      <c r="I4" s="60">
        <v>0</v>
      </c>
      <c r="J4" s="44">
        <v>0</v>
      </c>
      <c r="K4" s="21">
        <f>ROUND(I4/(1+J4)*J4,2)</f>
        <v>0</v>
      </c>
      <c r="L4" s="59">
        <f>I4-K4</f>
        <v>0</v>
      </c>
      <c r="M4" s="61"/>
      <c r="N4" s="61"/>
      <c r="O4" s="62"/>
    </row>
    <row r="5" spans="2:15">
      <c r="B5" s="56"/>
      <c r="C5" s="57"/>
      <c r="D5" s="57"/>
      <c r="E5" s="58"/>
      <c r="F5" s="42"/>
      <c r="G5" s="21">
        <f t="shared" ref="G5:G18" si="0">ROUND(E5/(1+F5)*F5,2)</f>
        <v>0</v>
      </c>
      <c r="H5" s="59">
        <f t="shared" ref="H5:H18" si="1">E5-G5</f>
        <v>0</v>
      </c>
      <c r="I5" s="60"/>
      <c r="J5" s="44"/>
      <c r="K5" s="21">
        <f t="shared" ref="K5:K18" si="2">ROUND(I5/(1+J5)*J5,2)</f>
        <v>0</v>
      </c>
      <c r="L5" s="59">
        <f t="shared" ref="L5:L18" si="3">I5-K5</f>
        <v>0</v>
      </c>
      <c r="M5" s="61"/>
      <c r="N5" s="61"/>
      <c r="O5" s="62"/>
    </row>
    <row r="6" spans="2:15">
      <c r="B6" s="56"/>
      <c r="C6" s="57"/>
      <c r="D6" s="57"/>
      <c r="E6" s="58"/>
      <c r="F6" s="63"/>
      <c r="G6" s="21">
        <f t="shared" si="0"/>
        <v>0</v>
      </c>
      <c r="H6" s="59">
        <f t="shared" si="1"/>
        <v>0</v>
      </c>
      <c r="I6" s="60"/>
      <c r="J6" s="44"/>
      <c r="K6" s="21">
        <f t="shared" si="2"/>
        <v>0</v>
      </c>
      <c r="L6" s="59">
        <f t="shared" si="3"/>
        <v>0</v>
      </c>
      <c r="M6" s="61"/>
      <c r="N6" s="61"/>
      <c r="O6" s="62"/>
    </row>
    <row r="7" spans="2:15">
      <c r="B7" s="56"/>
      <c r="C7" s="57"/>
      <c r="D7" s="57"/>
      <c r="E7" s="58"/>
      <c r="F7" s="63"/>
      <c r="G7" s="21">
        <f t="shared" si="0"/>
        <v>0</v>
      </c>
      <c r="H7" s="59">
        <f t="shared" si="1"/>
        <v>0</v>
      </c>
      <c r="I7" s="60"/>
      <c r="J7" s="44"/>
      <c r="K7" s="21">
        <f t="shared" si="2"/>
        <v>0</v>
      </c>
      <c r="L7" s="59">
        <f t="shared" si="3"/>
        <v>0</v>
      </c>
      <c r="M7" s="61"/>
      <c r="N7" s="61"/>
      <c r="O7" s="62"/>
    </row>
    <row r="8" spans="2:15">
      <c r="B8" s="56"/>
      <c r="C8" s="57"/>
      <c r="D8" s="57"/>
      <c r="E8" s="58"/>
      <c r="F8" s="63"/>
      <c r="G8" s="21">
        <f t="shared" si="0"/>
        <v>0</v>
      </c>
      <c r="H8" s="59">
        <f t="shared" si="1"/>
        <v>0</v>
      </c>
      <c r="I8" s="60"/>
      <c r="J8" s="44"/>
      <c r="K8" s="21">
        <f t="shared" si="2"/>
        <v>0</v>
      </c>
      <c r="L8" s="59">
        <f t="shared" si="3"/>
        <v>0</v>
      </c>
      <c r="M8" s="61"/>
      <c r="N8" s="61"/>
      <c r="O8" s="62"/>
    </row>
    <row r="9" spans="2:15">
      <c r="B9" s="56"/>
      <c r="C9" s="57"/>
      <c r="D9" s="57"/>
      <c r="E9" s="58"/>
      <c r="F9" s="63"/>
      <c r="G9" s="21">
        <f t="shared" si="0"/>
        <v>0</v>
      </c>
      <c r="H9" s="59">
        <f t="shared" si="1"/>
        <v>0</v>
      </c>
      <c r="I9" s="60"/>
      <c r="J9" s="44"/>
      <c r="K9" s="21">
        <f t="shared" si="2"/>
        <v>0</v>
      </c>
      <c r="L9" s="59">
        <f t="shared" si="3"/>
        <v>0</v>
      </c>
      <c r="M9" s="61"/>
      <c r="N9" s="61"/>
      <c r="O9" s="62"/>
    </row>
    <row r="10" spans="2:15">
      <c r="B10" s="56"/>
      <c r="C10" s="57"/>
      <c r="D10" s="57"/>
      <c r="E10" s="58"/>
      <c r="F10" s="63"/>
      <c r="G10" s="21">
        <f t="shared" si="0"/>
        <v>0</v>
      </c>
      <c r="H10" s="59">
        <f t="shared" si="1"/>
        <v>0</v>
      </c>
      <c r="I10" s="60"/>
      <c r="J10" s="44"/>
      <c r="K10" s="21">
        <f t="shared" si="2"/>
        <v>0</v>
      </c>
      <c r="L10" s="59">
        <f t="shared" si="3"/>
        <v>0</v>
      </c>
      <c r="M10" s="61"/>
      <c r="N10" s="61"/>
      <c r="O10" s="62"/>
    </row>
    <row r="11" spans="2:15">
      <c r="B11" s="56"/>
      <c r="C11" s="57"/>
      <c r="D11" s="57"/>
      <c r="E11" s="58"/>
      <c r="F11" s="63"/>
      <c r="G11" s="21">
        <f t="shared" si="0"/>
        <v>0</v>
      </c>
      <c r="H11" s="59">
        <f t="shared" si="1"/>
        <v>0</v>
      </c>
      <c r="I11" s="60"/>
      <c r="J11" s="44"/>
      <c r="K11" s="21">
        <f t="shared" si="2"/>
        <v>0</v>
      </c>
      <c r="L11" s="59">
        <f t="shared" si="3"/>
        <v>0</v>
      </c>
      <c r="M11" s="61"/>
      <c r="N11" s="61"/>
      <c r="O11" s="62"/>
    </row>
    <row r="12" spans="2:15">
      <c r="B12" s="56"/>
      <c r="C12" s="57"/>
      <c r="D12" s="57"/>
      <c r="E12" s="58"/>
      <c r="F12" s="63"/>
      <c r="G12" s="21">
        <f t="shared" si="0"/>
        <v>0</v>
      </c>
      <c r="H12" s="59">
        <f t="shared" si="1"/>
        <v>0</v>
      </c>
      <c r="I12" s="60"/>
      <c r="J12" s="44"/>
      <c r="K12" s="21">
        <f t="shared" si="2"/>
        <v>0</v>
      </c>
      <c r="L12" s="59">
        <f t="shared" si="3"/>
        <v>0</v>
      </c>
      <c r="M12" s="61"/>
      <c r="N12" s="61"/>
      <c r="O12" s="62"/>
    </row>
    <row r="13" spans="2:15">
      <c r="B13" s="56"/>
      <c r="C13" s="57"/>
      <c r="D13" s="57"/>
      <c r="E13" s="58"/>
      <c r="F13" s="63"/>
      <c r="G13" s="21">
        <f t="shared" si="0"/>
        <v>0</v>
      </c>
      <c r="H13" s="59">
        <f t="shared" si="1"/>
        <v>0</v>
      </c>
      <c r="I13" s="60"/>
      <c r="J13" s="44"/>
      <c r="K13" s="21">
        <f t="shared" si="2"/>
        <v>0</v>
      </c>
      <c r="L13" s="59">
        <f t="shared" si="3"/>
        <v>0</v>
      </c>
      <c r="M13" s="61"/>
      <c r="N13" s="61"/>
      <c r="O13" s="62"/>
    </row>
    <row r="14" spans="2:15">
      <c r="B14" s="56"/>
      <c r="C14" s="57"/>
      <c r="D14" s="57"/>
      <c r="E14" s="58"/>
      <c r="F14" s="63"/>
      <c r="G14" s="21">
        <f t="shared" si="0"/>
        <v>0</v>
      </c>
      <c r="H14" s="59">
        <f t="shared" si="1"/>
        <v>0</v>
      </c>
      <c r="I14" s="60"/>
      <c r="J14" s="44"/>
      <c r="K14" s="21">
        <f t="shared" si="2"/>
        <v>0</v>
      </c>
      <c r="L14" s="59">
        <f t="shared" si="3"/>
        <v>0</v>
      </c>
      <c r="M14" s="61"/>
      <c r="N14" s="61"/>
      <c r="O14" s="62"/>
    </row>
    <row r="15" spans="2:15">
      <c r="B15" s="56"/>
      <c r="C15" s="57"/>
      <c r="D15" s="57"/>
      <c r="E15" s="58"/>
      <c r="F15" s="63"/>
      <c r="G15" s="21">
        <f t="shared" si="0"/>
        <v>0</v>
      </c>
      <c r="H15" s="59">
        <f t="shared" si="1"/>
        <v>0</v>
      </c>
      <c r="I15" s="60"/>
      <c r="J15" s="44"/>
      <c r="K15" s="21">
        <f t="shared" si="2"/>
        <v>0</v>
      </c>
      <c r="L15" s="59">
        <f t="shared" si="3"/>
        <v>0</v>
      </c>
      <c r="M15" s="61"/>
      <c r="N15" s="61"/>
      <c r="O15" s="62"/>
    </row>
    <row r="16" spans="2:15">
      <c r="B16" s="56"/>
      <c r="C16" s="57"/>
      <c r="D16" s="57"/>
      <c r="E16" s="58"/>
      <c r="F16" s="63"/>
      <c r="G16" s="21">
        <f t="shared" si="0"/>
        <v>0</v>
      </c>
      <c r="H16" s="59">
        <f t="shared" si="1"/>
        <v>0</v>
      </c>
      <c r="I16" s="60"/>
      <c r="J16" s="44"/>
      <c r="K16" s="21">
        <f t="shared" si="2"/>
        <v>0</v>
      </c>
      <c r="L16" s="59">
        <f t="shared" si="3"/>
        <v>0</v>
      </c>
      <c r="M16" s="61"/>
      <c r="N16" s="61"/>
      <c r="O16" s="62"/>
    </row>
    <row r="17" spans="2:15">
      <c r="B17" s="56"/>
      <c r="C17" s="57"/>
      <c r="D17" s="57"/>
      <c r="E17" s="58"/>
      <c r="F17" s="63"/>
      <c r="G17" s="21">
        <f t="shared" si="0"/>
        <v>0</v>
      </c>
      <c r="H17" s="59">
        <f t="shared" si="1"/>
        <v>0</v>
      </c>
      <c r="I17" s="60"/>
      <c r="J17" s="44"/>
      <c r="K17" s="21">
        <f t="shared" si="2"/>
        <v>0</v>
      </c>
      <c r="L17" s="59">
        <f t="shared" si="3"/>
        <v>0</v>
      </c>
      <c r="M17" s="61"/>
      <c r="N17" s="61"/>
      <c r="O17" s="62"/>
    </row>
    <row r="18" spans="2:15">
      <c r="B18" s="56"/>
      <c r="C18" s="57"/>
      <c r="D18" s="57"/>
      <c r="E18" s="58"/>
      <c r="F18" s="63"/>
      <c r="G18" s="21">
        <f t="shared" si="0"/>
        <v>0</v>
      </c>
      <c r="H18" s="59">
        <f t="shared" si="1"/>
        <v>0</v>
      </c>
      <c r="I18" s="60"/>
      <c r="J18" s="44"/>
      <c r="K18" s="21">
        <f t="shared" si="2"/>
        <v>0</v>
      </c>
      <c r="L18" s="59">
        <f t="shared" si="3"/>
        <v>0</v>
      </c>
      <c r="M18" s="61"/>
      <c r="N18" s="61"/>
      <c r="O18" s="62"/>
    </row>
    <row r="19" spans="2:15">
      <c r="B19" s="7"/>
      <c r="E19" s="7"/>
      <c r="H19" s="17"/>
      <c r="I19" s="7"/>
      <c r="L19" s="17"/>
      <c r="M19" s="64"/>
      <c r="N19" s="64"/>
      <c r="O19" s="17"/>
    </row>
    <row r="20" spans="2:15" ht="14" thickBot="1">
      <c r="B20" s="11"/>
      <c r="C20" s="13" t="s">
        <v>34</v>
      </c>
      <c r="D20" s="13"/>
      <c r="E20" s="65">
        <f>SUM(E3:E19)</f>
        <v>0</v>
      </c>
      <c r="F20" s="47"/>
      <c r="G20" s="26">
        <f t="shared" ref="G20:L20" si="4">SUM(G3:G19)</f>
        <v>0</v>
      </c>
      <c r="H20" s="66">
        <f>SUM(H3:H19)</f>
        <v>0</v>
      </c>
      <c r="I20" s="65">
        <f>SUM(I3:I19)</f>
        <v>0</v>
      </c>
      <c r="J20" s="47"/>
      <c r="K20" s="26">
        <f t="shared" si="4"/>
        <v>0</v>
      </c>
      <c r="L20" s="66">
        <f t="shared" si="4"/>
        <v>0</v>
      </c>
      <c r="M20" s="13"/>
      <c r="N20" s="13"/>
      <c r="O20" s="15"/>
    </row>
    <row r="24" spans="2:15">
      <c r="B24" s="67" t="s">
        <v>77</v>
      </c>
    </row>
    <row r="25" spans="2:15">
      <c r="B25" s="67" t="s">
        <v>57</v>
      </c>
    </row>
  </sheetData>
  <phoneticPr fontId="2" type="noConversion"/>
  <dataValidations count="2">
    <dataValidation type="list" allowBlank="1" showInputMessage="1" showErrorMessage="1" sqref="F4:F19 J4:J19" xr:uid="{00000000-0002-0000-0200-000000000000}">
      <formula1>"6%,16%,3%,0%"</formula1>
    </dataValidation>
    <dataValidation type="list" allowBlank="1" showInputMessage="1" showErrorMessage="1" sqref="O4:O18" xr:uid="{00000000-0002-0000-0200-000001000000}">
      <formula1>"采购中,已付款,已完成"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32"/>
  <sheetViews>
    <sheetView showGridLines="0" zoomScale="110" zoomScaleNormal="110" workbookViewId="0">
      <selection activeCell="M7" sqref="M7:M14"/>
    </sheetView>
  </sheetViews>
  <sheetFormatPr baseColWidth="10" defaultColWidth="11" defaultRowHeight="13"/>
  <cols>
    <col min="1" max="1" width="3.1640625" style="8" customWidth="1"/>
    <col min="2" max="2" width="14.1640625" style="8" customWidth="1"/>
    <col min="3" max="3" width="12.6640625" style="8" customWidth="1"/>
    <col min="4" max="4" width="13.33203125" style="8" customWidth="1"/>
    <col min="5" max="5" width="13.6640625" style="8" customWidth="1"/>
    <col min="6" max="6" width="8.5" style="8" customWidth="1"/>
    <col min="7" max="7" width="12.6640625" style="8" customWidth="1"/>
    <col min="8" max="8" width="7.5" style="8" customWidth="1"/>
    <col min="9" max="9" width="7.1640625" style="8" customWidth="1"/>
    <col min="10" max="10" width="11.1640625" style="8" bestFit="1" customWidth="1"/>
    <col min="11" max="11" width="14.5" style="8" customWidth="1"/>
    <col min="12" max="12" width="9.6640625" style="8" customWidth="1"/>
    <col min="13" max="13" width="15.83203125" style="8" customWidth="1"/>
    <col min="14" max="14" width="12.83203125" style="8" customWidth="1"/>
    <col min="15" max="15" width="10.5" style="8" customWidth="1"/>
    <col min="16" max="19" width="11" style="8"/>
    <col min="20" max="20" width="13.83203125" style="8" customWidth="1"/>
    <col min="21" max="16384" width="11" style="8"/>
  </cols>
  <sheetData>
    <row r="2" spans="2:20" ht="14">
      <c r="B2" s="1" t="s">
        <v>88</v>
      </c>
      <c r="C2" s="23" t="str">
        <f>销售清单!C3</f>
        <v>A0001</v>
      </c>
      <c r="D2" s="124" t="s">
        <v>124</v>
      </c>
      <c r="E2" s="23" t="s">
        <v>135</v>
      </c>
      <c r="F2" s="1"/>
      <c r="G2" s="125" t="s">
        <v>9</v>
      </c>
      <c r="H2" s="149">
        <v>18657599022</v>
      </c>
      <c r="I2" s="149"/>
      <c r="J2" s="8" t="s">
        <v>125</v>
      </c>
      <c r="K2" s="40" t="s">
        <v>134</v>
      </c>
    </row>
    <row r="3" spans="2:20" ht="14">
      <c r="B3" s="71" t="s">
        <v>7</v>
      </c>
      <c r="C3" s="123">
        <v>43586</v>
      </c>
      <c r="D3" s="71" t="s">
        <v>51</v>
      </c>
      <c r="E3" s="123">
        <v>43738</v>
      </c>
      <c r="F3" s="1"/>
      <c r="G3" s="1" t="s">
        <v>10</v>
      </c>
      <c r="H3" s="150">
        <v>8</v>
      </c>
      <c r="I3" s="150"/>
      <c r="J3" s="98" t="s">
        <v>111</v>
      </c>
      <c r="K3" s="40" t="s">
        <v>127</v>
      </c>
    </row>
    <row r="4" spans="2:20">
      <c r="B4" s="70"/>
      <c r="C4" s="70"/>
    </row>
    <row r="5" spans="2:20" ht="14" thickBot="1">
      <c r="B5" s="70"/>
      <c r="C5" s="70"/>
    </row>
    <row r="6" spans="2:20" ht="34.5" customHeight="1" thickBot="1">
      <c r="B6" s="117" t="s">
        <v>43</v>
      </c>
      <c r="C6" s="118" t="s">
        <v>39</v>
      </c>
      <c r="D6" s="118" t="s">
        <v>40</v>
      </c>
      <c r="E6" s="119" t="s">
        <v>44</v>
      </c>
      <c r="F6" s="119" t="s">
        <v>45</v>
      </c>
      <c r="G6" s="119" t="s">
        <v>49</v>
      </c>
      <c r="H6" s="119" t="s">
        <v>46</v>
      </c>
      <c r="I6" s="119" t="s">
        <v>47</v>
      </c>
      <c r="J6" s="119" t="s">
        <v>48</v>
      </c>
      <c r="K6" s="119" t="s">
        <v>75</v>
      </c>
      <c r="L6" s="119" t="s">
        <v>76</v>
      </c>
      <c r="M6" s="119" t="s">
        <v>74</v>
      </c>
      <c r="N6" s="119" t="s">
        <v>73</v>
      </c>
      <c r="O6" s="119" t="s">
        <v>119</v>
      </c>
      <c r="P6" s="119" t="s">
        <v>120</v>
      </c>
      <c r="Q6" s="119" t="s">
        <v>121</v>
      </c>
      <c r="R6" s="119" t="s">
        <v>122</v>
      </c>
      <c r="S6" s="119" t="s">
        <v>123</v>
      </c>
      <c r="T6" s="120" t="s">
        <v>41</v>
      </c>
    </row>
    <row r="7" spans="2:20" ht="14" thickTop="1">
      <c r="B7" s="111" t="s">
        <v>89</v>
      </c>
      <c r="C7" s="112" t="s">
        <v>38</v>
      </c>
      <c r="D7" s="145" t="s">
        <v>135</v>
      </c>
      <c r="E7" s="113">
        <v>30</v>
      </c>
      <c r="F7" s="113">
        <v>0</v>
      </c>
      <c r="G7" s="114">
        <f t="array" ref="G7">VLOOKUP(B7&amp;C7,IF({1,0},人员成本单价!B$3:B$101&amp;人员成本单价!C$3:C$101,人员成本单价!D$3:D$101),2,)</f>
        <v>1500</v>
      </c>
      <c r="H7" s="112">
        <v>3</v>
      </c>
      <c r="I7" s="112">
        <v>0</v>
      </c>
      <c r="J7" s="115">
        <f>IF($K$3="华北",G7+1000,IF($K$3="华东",G7+600,IF($K$3="西北",G7+1000,IF($K$3="华南",G7+800,""))))</f>
        <v>2100</v>
      </c>
      <c r="K7" s="115">
        <f>H7*(J7-G7)</f>
        <v>1800</v>
      </c>
      <c r="L7" s="116">
        <v>2000</v>
      </c>
      <c r="M7" s="115">
        <f>SUM(E7*G7+H7*J7)</f>
        <v>51300</v>
      </c>
      <c r="N7" s="115">
        <f>(F7+I7)*G7+L7</f>
        <v>2000</v>
      </c>
      <c r="O7" s="104">
        <f>N7-M7</f>
        <v>-49300</v>
      </c>
      <c r="P7" s="100">
        <v>11</v>
      </c>
      <c r="Q7" s="100">
        <v>1</v>
      </c>
      <c r="R7" s="100">
        <f>P7*Q7*(F7+I7)</f>
        <v>0</v>
      </c>
      <c r="S7" s="100" t="e">
        <f>ROUND(R7/$R$18*总表!$D$48,0)</f>
        <v>#DIV/0!</v>
      </c>
      <c r="T7" s="130"/>
    </row>
    <row r="8" spans="2:20">
      <c r="B8" s="99" t="s">
        <v>91</v>
      </c>
      <c r="C8" s="100" t="s">
        <v>38</v>
      </c>
      <c r="D8" s="144" t="s">
        <v>131</v>
      </c>
      <c r="E8" s="113">
        <v>15</v>
      </c>
      <c r="F8" s="113">
        <v>0</v>
      </c>
      <c r="G8" s="103">
        <f t="array" ref="G8">VLOOKUP(B8&amp;C8,IF({1,0},人员成本单价!B$3:B$101&amp;人员成本单价!C$3:C$101,人员成本单价!D$3:D$101),2,)</f>
        <v>2200</v>
      </c>
      <c r="H8" s="112">
        <v>3</v>
      </c>
      <c r="I8" s="100">
        <v>0</v>
      </c>
      <c r="J8" s="104">
        <f t="array" ref="J8">IF($K$3="华北",G8+1000,IF($K$3="华东",G8+600,IF($K$3="西北",G8+1000,IF($K$3="华南",G8+800,""))))</f>
        <v>2800</v>
      </c>
      <c r="K8" s="104">
        <f t="shared" ref="K8:K12" si="0">H8*(J8-G8)</f>
        <v>1800</v>
      </c>
      <c r="L8" s="105">
        <v>1500</v>
      </c>
      <c r="M8" s="104">
        <f>SUM(E8*G8+H8*J8)</f>
        <v>41400</v>
      </c>
      <c r="N8" s="115">
        <f t="shared" ref="N8:N12" si="1">(F8+I8)*G8+L8</f>
        <v>1500</v>
      </c>
      <c r="O8" s="104">
        <f t="shared" ref="O8:O12" si="2">N8-M8</f>
        <v>-39900</v>
      </c>
      <c r="P8" s="100">
        <v>8</v>
      </c>
      <c r="Q8" s="100">
        <v>1</v>
      </c>
      <c r="R8" s="100">
        <f t="shared" ref="R8:R12" si="3">P8*Q8*(F8+I8)</f>
        <v>0</v>
      </c>
      <c r="S8" s="100" t="e">
        <f>ROUND(R8/$R$18*总表!$D$48,0)</f>
        <v>#DIV/0!</v>
      </c>
      <c r="T8" s="131"/>
    </row>
    <row r="9" spans="2:20">
      <c r="B9" s="99" t="s">
        <v>93</v>
      </c>
      <c r="C9" s="100" t="s">
        <v>99</v>
      </c>
      <c r="D9" s="144" t="s">
        <v>132</v>
      </c>
      <c r="E9" s="113">
        <v>30</v>
      </c>
      <c r="F9" s="113">
        <v>0</v>
      </c>
      <c r="G9" s="103">
        <f t="array" ref="G9">VLOOKUP(B9&amp;C9,IF({1,0},人员成本单价!B$3:B$101&amp;人员成本单价!C$3:C$101,人员成本单价!D$3:D$101),2,)</f>
        <v>300</v>
      </c>
      <c r="H9" s="112">
        <v>3</v>
      </c>
      <c r="I9" s="100">
        <v>0</v>
      </c>
      <c r="J9" s="104">
        <f t="array" ref="J9">IF($K$3="华北",G9+1000,IF($K$3="华东",G9+600,IF($K$3="西北",G9+1000,IF($K$3="华南",G9+800,""))))</f>
        <v>900</v>
      </c>
      <c r="K9" s="104">
        <f t="shared" si="0"/>
        <v>1800</v>
      </c>
      <c r="L9" s="105">
        <v>0</v>
      </c>
      <c r="M9" s="104">
        <f>SUM(E9*G9+H9*J9)</f>
        <v>11700</v>
      </c>
      <c r="N9" s="115">
        <f t="shared" si="1"/>
        <v>0</v>
      </c>
      <c r="O9" s="104">
        <f t="shared" si="2"/>
        <v>-11700</v>
      </c>
      <c r="P9" s="100">
        <v>6</v>
      </c>
      <c r="Q9" s="100">
        <v>0.9</v>
      </c>
      <c r="R9" s="100">
        <f t="shared" si="3"/>
        <v>0</v>
      </c>
      <c r="S9" s="100" t="e">
        <f>ROUND(R9/$R$18*总表!$D$48,0)</f>
        <v>#DIV/0!</v>
      </c>
      <c r="T9" s="131"/>
    </row>
    <row r="10" spans="2:20">
      <c r="B10" s="99" t="s">
        <v>114</v>
      </c>
      <c r="C10" s="100" t="s">
        <v>38</v>
      </c>
      <c r="D10" s="144" t="s">
        <v>143</v>
      </c>
      <c r="E10" s="113">
        <v>10</v>
      </c>
      <c r="F10" s="113">
        <v>0</v>
      </c>
      <c r="G10" s="103">
        <f t="array" ref="G10">VLOOKUP(B10&amp;C10,IF({1,0},人员成本单价!B$3:B$101&amp;人员成本单价!C$3:C$101,人员成本单价!D$3:D$101),2,)</f>
        <v>1000</v>
      </c>
      <c r="H10" s="112">
        <v>3</v>
      </c>
      <c r="I10" s="100">
        <v>0</v>
      </c>
      <c r="J10" s="104">
        <f t="array" ref="J10">IF($K$3="华北",G10+1000,IF($K$3="华东",G10+600,IF($K$3="西北",G10+1000,IF($K$3="华南",G10+800,""))))</f>
        <v>1600</v>
      </c>
      <c r="K10" s="104">
        <v>0</v>
      </c>
      <c r="L10" s="105">
        <v>0</v>
      </c>
      <c r="M10" s="104">
        <f t="shared" ref="M10" si="4">SUM(E10*G10+H10*J10)</f>
        <v>14800</v>
      </c>
      <c r="N10" s="115">
        <f t="shared" ref="N10" si="5">(F10+I10)*G10+L10</f>
        <v>0</v>
      </c>
      <c r="O10" s="104">
        <f t="shared" ref="O10" si="6">N10-M10</f>
        <v>-14800</v>
      </c>
      <c r="P10" s="100">
        <v>9</v>
      </c>
      <c r="Q10" s="100">
        <v>8</v>
      </c>
      <c r="R10" s="100">
        <f t="shared" ref="R10" si="7">P10*Q10*(F10+I10)</f>
        <v>0</v>
      </c>
      <c r="S10" s="100" t="e">
        <f>ROUND(R10/$R$18*总表!$D$48,0)</f>
        <v>#DIV/0!</v>
      </c>
      <c r="T10" s="131"/>
    </row>
    <row r="11" spans="2:20">
      <c r="B11" s="99" t="s">
        <v>114</v>
      </c>
      <c r="C11" s="100" t="s">
        <v>99</v>
      </c>
      <c r="D11" s="144" t="s">
        <v>146</v>
      </c>
      <c r="E11" s="113">
        <v>5</v>
      </c>
      <c r="F11" s="113">
        <v>0</v>
      </c>
      <c r="G11" s="103">
        <f t="array" ref="G11">VLOOKUP(B11&amp;C11,IF({1,0},人员成本单价!B$3:B$101&amp;人员成本单价!C$3:C$101,人员成本单价!D$3:D$101),2,)</f>
        <v>300</v>
      </c>
      <c r="H11" s="112">
        <v>3</v>
      </c>
      <c r="I11" s="100">
        <v>0</v>
      </c>
      <c r="J11" s="104">
        <f t="array" ref="J11">IF($K$3="华北",G11+1000,IF($K$3="华东",G11+600,IF($K$3="西北",G11+1000,IF($K$3="华南",G11+800,""))))</f>
        <v>900</v>
      </c>
      <c r="K11" s="104">
        <v>0</v>
      </c>
      <c r="L11" s="105">
        <v>0</v>
      </c>
      <c r="M11" s="104">
        <f t="shared" ref="M11:M12" si="8">SUM(E11*G11+H11*J11)</f>
        <v>4200</v>
      </c>
      <c r="N11" s="115">
        <f t="shared" si="1"/>
        <v>0</v>
      </c>
      <c r="O11" s="104">
        <f t="shared" si="2"/>
        <v>-4200</v>
      </c>
      <c r="P11" s="100">
        <v>9</v>
      </c>
      <c r="Q11" s="100">
        <v>8</v>
      </c>
      <c r="R11" s="100">
        <f t="shared" si="3"/>
        <v>0</v>
      </c>
      <c r="S11" s="100" t="e">
        <f>ROUND(R11/$R$18*总表!$D$48,0)</f>
        <v>#DIV/0!</v>
      </c>
      <c r="T11" s="148" t="s">
        <v>145</v>
      </c>
    </row>
    <row r="12" spans="2:20">
      <c r="B12" s="99" t="s">
        <v>114</v>
      </c>
      <c r="C12" s="100" t="s">
        <v>99</v>
      </c>
      <c r="D12" s="144" t="s">
        <v>133</v>
      </c>
      <c r="E12" s="113">
        <v>20</v>
      </c>
      <c r="F12" s="113">
        <v>0</v>
      </c>
      <c r="G12" s="103">
        <f t="array" ref="G12">VLOOKUP(B12&amp;C12,IF({1,0},人员成本单价!B$3:B$101&amp;人员成本单价!C$3:C$101,人员成本单价!D$3:D$101),2,)</f>
        <v>300</v>
      </c>
      <c r="H12" s="112">
        <v>3</v>
      </c>
      <c r="I12" s="100">
        <v>0</v>
      </c>
      <c r="J12" s="104">
        <f t="array" ref="J12">IF($K$3="华北",G12+1000,IF($K$3="华东",G12+600,IF($K$3="西北",G12+1000,IF($K$3="华南",G12+800,""))))</f>
        <v>900</v>
      </c>
      <c r="K12" s="104">
        <f t="shared" si="0"/>
        <v>1800</v>
      </c>
      <c r="L12" s="105">
        <v>0</v>
      </c>
      <c r="M12" s="104">
        <f t="shared" si="8"/>
        <v>8700</v>
      </c>
      <c r="N12" s="115">
        <f t="shared" si="1"/>
        <v>0</v>
      </c>
      <c r="O12" s="104">
        <f t="shared" si="2"/>
        <v>-8700</v>
      </c>
      <c r="P12" s="100">
        <v>8</v>
      </c>
      <c r="Q12" s="100">
        <v>0.9</v>
      </c>
      <c r="R12" s="100">
        <f t="shared" si="3"/>
        <v>0</v>
      </c>
      <c r="S12" s="100" t="e">
        <f>ROUND(R12/$R$18*总表!$D$48,0)</f>
        <v>#DIV/0!</v>
      </c>
      <c r="T12" s="148" t="s">
        <v>145</v>
      </c>
    </row>
    <row r="13" spans="2:20">
      <c r="B13" s="99" t="s">
        <v>114</v>
      </c>
      <c r="C13" s="100" t="s">
        <v>99</v>
      </c>
      <c r="D13" s="144" t="s">
        <v>141</v>
      </c>
      <c r="E13" s="113">
        <v>20</v>
      </c>
      <c r="F13" s="113">
        <v>0</v>
      </c>
      <c r="G13" s="103">
        <f t="array" ref="G13">VLOOKUP(B13&amp;C13,IF({1,0},人员成本单价!B$3:B$101&amp;人员成本单价!C$3:C$101,人员成本单价!D$3:D$101),2,)</f>
        <v>300</v>
      </c>
      <c r="H13" s="112">
        <v>3</v>
      </c>
      <c r="I13" s="100">
        <v>0</v>
      </c>
      <c r="J13" s="104">
        <f t="array" ref="J13">IF($K$3="华北",G13+1000,IF($K$3="华东",G13+600,IF($K$3="西北",G13+1000,IF($K$3="华南",G13+800,""))))</f>
        <v>900</v>
      </c>
      <c r="K13" s="104">
        <f t="shared" ref="K13" si="9">H13*(J13-G13)</f>
        <v>1800</v>
      </c>
      <c r="L13" s="105">
        <v>0</v>
      </c>
      <c r="M13" s="104">
        <f t="shared" ref="M13" si="10">SUM(E13*G13+H13*J13)</f>
        <v>8700</v>
      </c>
      <c r="N13" s="115">
        <f t="shared" ref="N13" si="11">(F13+I13)*G13+L13</f>
        <v>0</v>
      </c>
      <c r="O13" s="104">
        <f t="shared" ref="O13" si="12">N13-M13</f>
        <v>-8700</v>
      </c>
      <c r="P13" s="100">
        <v>8</v>
      </c>
      <c r="Q13" s="100">
        <v>0.9</v>
      </c>
      <c r="R13" s="100">
        <f t="shared" ref="R13" si="13">P13*Q13*(F13+I13)</f>
        <v>0</v>
      </c>
      <c r="S13" s="100" t="e">
        <f>ROUND(R13/$R$18*总表!$D$48,0)</f>
        <v>#DIV/0!</v>
      </c>
      <c r="T13" s="148" t="s">
        <v>145</v>
      </c>
    </row>
    <row r="14" spans="2:20">
      <c r="B14" s="99" t="s">
        <v>95</v>
      </c>
      <c r="C14" s="100" t="s">
        <v>90</v>
      </c>
      <c r="D14" s="144" t="s">
        <v>142</v>
      </c>
      <c r="E14" s="113">
        <v>5</v>
      </c>
      <c r="F14" s="113">
        <v>0</v>
      </c>
      <c r="G14" s="103">
        <f t="array" ref="G14">VLOOKUP(B14&amp;C14,IF({1,0},人员成本单价!B$3:B$101&amp;人员成本单价!C$3:C$101,人员成本单价!D$3:D$101),2,)</f>
        <v>600</v>
      </c>
      <c r="H14" s="112">
        <v>3</v>
      </c>
      <c r="I14" s="100">
        <v>0</v>
      </c>
      <c r="J14" s="104">
        <f t="array" ref="J14">IF($K$3="华北",G14+1000,IF($K$3="华东",G14+600,IF($K$3="西北",G14+1000,IF($K$3="华南",G14+800,""))))</f>
        <v>1200</v>
      </c>
      <c r="K14" s="104">
        <f t="shared" ref="K14" si="14">H14*(J14-G14)</f>
        <v>1800</v>
      </c>
      <c r="L14" s="105">
        <v>0</v>
      </c>
      <c r="M14" s="104">
        <f t="shared" ref="M14" si="15">SUM(E14*G14+H14*J14)</f>
        <v>6600</v>
      </c>
      <c r="N14" s="115">
        <f t="shared" ref="N14" si="16">(F14+I14)*G14+L14</f>
        <v>0</v>
      </c>
      <c r="O14" s="104">
        <f t="shared" ref="O14" si="17">N14-M14</f>
        <v>-6600</v>
      </c>
      <c r="P14" s="100">
        <v>8</v>
      </c>
      <c r="Q14" s="100">
        <v>0.9</v>
      </c>
      <c r="R14" s="100">
        <f t="shared" ref="R14" si="18">P14*Q14*(F14+I14)</f>
        <v>0</v>
      </c>
      <c r="S14" s="100" t="e">
        <f>ROUND(R14/$R$18*总表!$D$48,0)</f>
        <v>#DIV/0!</v>
      </c>
      <c r="T14" s="131"/>
    </row>
    <row r="15" spans="2:20">
      <c r="B15" s="99"/>
      <c r="C15" s="100"/>
      <c r="D15" s="101"/>
      <c r="E15" s="102"/>
      <c r="F15" s="102"/>
      <c r="G15" s="106"/>
      <c r="H15" s="100"/>
      <c r="I15" s="100"/>
      <c r="J15" s="104"/>
      <c r="K15" s="104"/>
      <c r="L15" s="105"/>
      <c r="M15" s="104"/>
      <c r="N15" s="115"/>
      <c r="O15" s="104"/>
      <c r="P15" s="100"/>
      <c r="Q15" s="100"/>
      <c r="R15" s="100"/>
      <c r="S15" s="100"/>
      <c r="T15" s="131"/>
    </row>
    <row r="16" spans="2:20">
      <c r="B16" s="99"/>
      <c r="C16" s="100"/>
      <c r="D16" s="101"/>
      <c r="E16" s="102"/>
      <c r="F16" s="102"/>
      <c r="G16" s="106"/>
      <c r="H16" s="100"/>
      <c r="I16" s="100"/>
      <c r="J16" s="104"/>
      <c r="K16" s="104"/>
      <c r="L16" s="105"/>
      <c r="M16" s="104"/>
      <c r="N16" s="115"/>
      <c r="O16" s="104"/>
      <c r="P16" s="100"/>
      <c r="Q16" s="100"/>
      <c r="R16" s="100"/>
      <c r="S16" s="100"/>
      <c r="T16" s="131"/>
    </row>
    <row r="17" spans="2:20">
      <c r="B17" s="99"/>
      <c r="C17" s="100"/>
      <c r="D17" s="101"/>
      <c r="E17" s="102"/>
      <c r="F17" s="102"/>
      <c r="G17" s="106"/>
      <c r="H17" s="100"/>
      <c r="I17" s="100"/>
      <c r="J17" s="104"/>
      <c r="K17" s="104"/>
      <c r="L17" s="105"/>
      <c r="M17" s="104"/>
      <c r="N17" s="115"/>
      <c r="O17" s="104"/>
      <c r="P17" s="100"/>
      <c r="Q17" s="100"/>
      <c r="R17" s="100"/>
      <c r="S17" s="100"/>
      <c r="T17" s="131"/>
    </row>
    <row r="18" spans="2:20" ht="14" thickBot="1">
      <c r="B18" s="107"/>
      <c r="C18" s="108"/>
      <c r="D18" s="108"/>
      <c r="E18" s="108"/>
      <c r="F18" s="108"/>
      <c r="G18" s="108"/>
      <c r="H18" s="108"/>
      <c r="I18" s="108"/>
      <c r="J18" s="109" t="s">
        <v>42</v>
      </c>
      <c r="K18" s="110">
        <f>SUM(K7:K17)</f>
        <v>10800</v>
      </c>
      <c r="L18" s="110">
        <f t="shared" ref="L18" si="19">SUM(L7:L17)</f>
        <v>3500</v>
      </c>
      <c r="M18" s="110">
        <f>SUM(M7:M17)</f>
        <v>147400</v>
      </c>
      <c r="N18" s="110">
        <f>SUM(N7:N17)</f>
        <v>3500</v>
      </c>
      <c r="O18" s="133">
        <f>SUM(O7:O17)</f>
        <v>-143900</v>
      </c>
      <c r="P18" s="134"/>
      <c r="Q18" s="134"/>
      <c r="R18" s="134">
        <f>SUM(R7:R17)</f>
        <v>0</v>
      </c>
      <c r="S18" s="134" t="e">
        <f>SUM(S7:S17)</f>
        <v>#DIV/0!</v>
      </c>
      <c r="T18" s="132"/>
    </row>
    <row r="21" spans="2:20" ht="14" thickBot="1">
      <c r="B21" s="8" t="s">
        <v>81</v>
      </c>
    </row>
    <row r="22" spans="2:20">
      <c r="B22" s="2"/>
      <c r="C22" s="52" t="s">
        <v>82</v>
      </c>
      <c r="D22" s="53" t="s">
        <v>83</v>
      </c>
    </row>
    <row r="23" spans="2:20">
      <c r="B23" s="7" t="s">
        <v>23</v>
      </c>
      <c r="C23" s="72">
        <v>0</v>
      </c>
      <c r="D23" s="73">
        <v>0</v>
      </c>
    </row>
    <row r="24" spans="2:20">
      <c r="B24" s="7" t="s">
        <v>80</v>
      </c>
      <c r="C24" s="72">
        <v>153600</v>
      </c>
      <c r="D24" s="73">
        <v>0</v>
      </c>
    </row>
    <row r="25" spans="2:20">
      <c r="B25" s="7"/>
      <c r="C25" s="72"/>
      <c r="D25" s="73"/>
    </row>
    <row r="26" spans="2:20">
      <c r="B26" s="7" t="s">
        <v>79</v>
      </c>
      <c r="C26" s="72">
        <v>10000</v>
      </c>
      <c r="D26" s="73">
        <v>0</v>
      </c>
    </row>
    <row r="27" spans="2:20">
      <c r="B27" s="7"/>
      <c r="D27" s="17"/>
    </row>
    <row r="28" spans="2:20" ht="14" thickBot="1">
      <c r="B28" s="11"/>
      <c r="C28" s="13"/>
      <c r="D28" s="15"/>
    </row>
    <row r="31" spans="2:20">
      <c r="B31" s="50" t="s">
        <v>84</v>
      </c>
    </row>
    <row r="32" spans="2:20">
      <c r="B32" s="50" t="s">
        <v>57</v>
      </c>
    </row>
  </sheetData>
  <mergeCells count="2">
    <mergeCell ref="H2:I2"/>
    <mergeCell ref="H3:I3"/>
  </mergeCells>
  <phoneticPr fontId="2" type="noConversion"/>
  <dataValidations count="4">
    <dataValidation type="list" allowBlank="1" showInputMessage="1" showErrorMessage="1" sqref="B15:B17" xr:uid="{00000000-0002-0000-0300-000000000000}">
      <formula1>"项目经理,需求分析师,视觉设计师,前端工程师,Java工程师,NodeJs工程师,测试工程师,运维工程师,技术支持"</formula1>
    </dataValidation>
    <dataValidation type="list" allowBlank="1" showInputMessage="1" showErrorMessage="1" sqref="C15:C17" xr:uid="{00000000-0002-0000-0300-000001000000}">
      <formula1>"资深,高级,中级,初级"</formula1>
    </dataValidation>
    <dataValidation type="list" allowBlank="1" showInputMessage="1" showErrorMessage="1" sqref="K3" xr:uid="{00000000-0002-0000-0300-000002000000}">
      <formula1>"华东,华北,华南,西北"</formula1>
    </dataValidation>
    <dataValidation type="list" allowBlank="1" showInputMessage="1" showErrorMessage="1" sqref="K2" xr:uid="{00000000-0002-0000-0300-000003000000}">
      <formula1>"新业务无技术积累,新业务有技术积累,老业务新功能开发"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4000000}">
          <x14:formula1>
            <xm:f>人员成本单价!$J$3:$J$31</xm:f>
          </x14:formula1>
          <xm:sqref>C7:C14</xm:sqref>
        </x14:dataValidation>
        <x14:dataValidation type="list" allowBlank="1" showInputMessage="1" showErrorMessage="1" xr:uid="{00000000-0002-0000-0300-000005000000}">
          <x14:formula1>
            <xm:f>人员成本单价!$I$3:$I$31</xm:f>
          </x14:formula1>
          <xm:sqref>B7:B14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44"/>
  <sheetViews>
    <sheetView topLeftCell="A9" workbookViewId="0">
      <selection activeCell="A11" sqref="A11:XFD11"/>
    </sheetView>
  </sheetViews>
  <sheetFormatPr baseColWidth="10" defaultColWidth="11" defaultRowHeight="15"/>
  <cols>
    <col min="2" max="2" width="13.1640625" bestFit="1" customWidth="1"/>
    <col min="4" max="4" width="14" customWidth="1"/>
    <col min="5" max="5" width="12.33203125" customWidth="1"/>
    <col min="6" max="7" width="14" customWidth="1"/>
    <col min="8" max="8" width="11.6640625" customWidth="1"/>
    <col min="9" max="9" width="13" bestFit="1" customWidth="1"/>
  </cols>
  <sheetData>
    <row r="1" spans="2:10" ht="16" thickBot="1"/>
    <row r="2" spans="2:10" ht="16" thickBot="1">
      <c r="B2" s="91" t="s">
        <v>102</v>
      </c>
      <c r="C2" s="68" t="s">
        <v>39</v>
      </c>
      <c r="D2" s="126" t="s">
        <v>110</v>
      </c>
      <c r="E2" s="127"/>
      <c r="F2" s="127"/>
      <c r="G2" s="127"/>
      <c r="H2" s="127"/>
      <c r="I2" s="92" t="s">
        <v>116</v>
      </c>
      <c r="J2" s="128" t="s">
        <v>39</v>
      </c>
    </row>
    <row r="3" spans="2:10" ht="16" thickBot="1">
      <c r="B3" s="92" t="s">
        <v>89</v>
      </c>
      <c r="C3" s="92" t="s">
        <v>101</v>
      </c>
      <c r="D3" s="97">
        <v>2000</v>
      </c>
      <c r="I3" s="129" t="s">
        <v>89</v>
      </c>
      <c r="J3" s="94" t="s">
        <v>108</v>
      </c>
    </row>
    <row r="4" spans="2:10" ht="16" thickBot="1">
      <c r="B4" s="92" t="s">
        <v>89</v>
      </c>
      <c r="C4" s="94" t="s">
        <v>103</v>
      </c>
      <c r="D4" s="93">
        <v>1500</v>
      </c>
      <c r="I4" s="92" t="s">
        <v>113</v>
      </c>
      <c r="J4" s="94" t="s">
        <v>103</v>
      </c>
    </row>
    <row r="5" spans="2:10" ht="16" thickBot="1">
      <c r="B5" s="92" t="s">
        <v>89</v>
      </c>
      <c r="C5" s="94" t="s">
        <v>104</v>
      </c>
      <c r="D5" s="93">
        <v>1000</v>
      </c>
      <c r="I5" s="138" t="s">
        <v>91</v>
      </c>
      <c r="J5" s="94" t="s">
        <v>104</v>
      </c>
    </row>
    <row r="6" spans="2:10" ht="16" thickBot="1">
      <c r="B6" s="92" t="s">
        <v>109</v>
      </c>
      <c r="C6" s="92" t="s">
        <v>101</v>
      </c>
      <c r="D6" s="93">
        <v>2000</v>
      </c>
      <c r="I6" s="92" t="s">
        <v>93</v>
      </c>
      <c r="J6" s="94" t="s">
        <v>105</v>
      </c>
    </row>
    <row r="7" spans="2:10" ht="16" thickBot="1">
      <c r="B7" s="92" t="s">
        <v>109</v>
      </c>
      <c r="C7" s="94" t="s">
        <v>103</v>
      </c>
      <c r="D7" s="93">
        <v>1500</v>
      </c>
      <c r="I7" s="92" t="s">
        <v>114</v>
      </c>
      <c r="J7" s="94"/>
    </row>
    <row r="8" spans="2:10" ht="16" thickBot="1">
      <c r="B8" s="92" t="s">
        <v>109</v>
      </c>
      <c r="C8" s="94" t="s">
        <v>104</v>
      </c>
      <c r="D8" s="93">
        <v>1000</v>
      </c>
      <c r="I8" s="92" t="s">
        <v>92</v>
      </c>
      <c r="J8" s="94"/>
    </row>
    <row r="9" spans="2:10" ht="16" thickBot="1">
      <c r="B9" s="140" t="s">
        <v>91</v>
      </c>
      <c r="C9" s="140" t="s">
        <v>101</v>
      </c>
      <c r="D9" s="141">
        <v>3000</v>
      </c>
      <c r="I9" s="92" t="s">
        <v>115</v>
      </c>
      <c r="J9" s="94"/>
    </row>
    <row r="10" spans="2:10" ht="16" thickBot="1">
      <c r="B10" s="140" t="s">
        <v>91</v>
      </c>
      <c r="C10" s="142" t="s">
        <v>103</v>
      </c>
      <c r="D10" s="141">
        <v>2200</v>
      </c>
      <c r="I10" s="92" t="s">
        <v>94</v>
      </c>
      <c r="J10" s="94"/>
    </row>
    <row r="11" spans="2:10" ht="16" thickBot="1">
      <c r="B11" s="140" t="s">
        <v>91</v>
      </c>
      <c r="C11" s="142" t="s">
        <v>104</v>
      </c>
      <c r="D11" s="141">
        <v>1700</v>
      </c>
      <c r="I11" s="92" t="s">
        <v>95</v>
      </c>
      <c r="J11" s="94"/>
    </row>
    <row r="12" spans="2:10" ht="16" thickBot="1">
      <c r="B12" s="140" t="s">
        <v>91</v>
      </c>
      <c r="C12" s="142" t="s">
        <v>105</v>
      </c>
      <c r="D12" s="141">
        <v>1000</v>
      </c>
      <c r="I12" s="139" t="s">
        <v>112</v>
      </c>
      <c r="J12" s="94"/>
    </row>
    <row r="13" spans="2:10" ht="16" thickBot="1">
      <c r="B13" s="92" t="s">
        <v>93</v>
      </c>
      <c r="C13" s="92" t="s">
        <v>101</v>
      </c>
      <c r="D13" s="93">
        <v>1500</v>
      </c>
      <c r="I13" s="138" t="s">
        <v>100</v>
      </c>
      <c r="J13" s="94"/>
    </row>
    <row r="14" spans="2:10" ht="16" thickBot="1">
      <c r="B14" s="92" t="s">
        <v>93</v>
      </c>
      <c r="C14" s="92" t="s">
        <v>103</v>
      </c>
      <c r="D14" s="93">
        <v>1200</v>
      </c>
      <c r="J14" s="143"/>
    </row>
    <row r="15" spans="2:10" ht="16" thickBot="1">
      <c r="B15" s="92" t="s">
        <v>93</v>
      </c>
      <c r="C15" s="92" t="s">
        <v>104</v>
      </c>
      <c r="D15" s="93">
        <v>600</v>
      </c>
      <c r="I15" s="135"/>
    </row>
    <row r="16" spans="2:10" ht="16" thickBot="1">
      <c r="B16" s="92" t="s">
        <v>93</v>
      </c>
      <c r="C16" s="92" t="s">
        <v>105</v>
      </c>
      <c r="D16" s="93">
        <v>300</v>
      </c>
    </row>
    <row r="17" spans="2:4" ht="16" thickBot="1">
      <c r="B17" s="92" t="s">
        <v>106</v>
      </c>
      <c r="C17" s="92" t="s">
        <v>101</v>
      </c>
      <c r="D17" s="93">
        <v>1600</v>
      </c>
    </row>
    <row r="18" spans="2:4" ht="16" thickBot="1">
      <c r="B18" s="92" t="s">
        <v>106</v>
      </c>
      <c r="C18" s="92" t="s">
        <v>103</v>
      </c>
      <c r="D18" s="93">
        <v>1000</v>
      </c>
    </row>
    <row r="19" spans="2:4" ht="16" thickBot="1">
      <c r="B19" s="92" t="s">
        <v>106</v>
      </c>
      <c r="C19" s="92" t="s">
        <v>104</v>
      </c>
      <c r="D19" s="93">
        <v>600</v>
      </c>
    </row>
    <row r="20" spans="2:4" ht="16" thickBot="1">
      <c r="B20" s="92" t="s">
        <v>106</v>
      </c>
      <c r="C20" s="92" t="s">
        <v>105</v>
      </c>
      <c r="D20" s="93">
        <v>300</v>
      </c>
    </row>
    <row r="21" spans="2:4" ht="16" thickBot="1">
      <c r="B21" s="92" t="s">
        <v>92</v>
      </c>
      <c r="C21" s="92" t="s">
        <v>101</v>
      </c>
      <c r="D21" s="93">
        <v>1400</v>
      </c>
    </row>
    <row r="22" spans="2:4" ht="16" thickBot="1">
      <c r="B22" s="92" t="s">
        <v>92</v>
      </c>
      <c r="C22" s="92" t="s">
        <v>103</v>
      </c>
      <c r="D22" s="93">
        <v>1100</v>
      </c>
    </row>
    <row r="23" spans="2:4" ht="16" thickBot="1">
      <c r="B23" s="92" t="s">
        <v>92</v>
      </c>
      <c r="C23" s="92" t="s">
        <v>104</v>
      </c>
      <c r="D23" s="93">
        <v>600</v>
      </c>
    </row>
    <row r="24" spans="2:4" ht="16" thickBot="1">
      <c r="B24" s="92" t="s">
        <v>92</v>
      </c>
      <c r="C24" s="92" t="s">
        <v>105</v>
      </c>
      <c r="D24" s="93">
        <v>200</v>
      </c>
    </row>
    <row r="25" spans="2:4" ht="16" thickBot="1">
      <c r="B25" s="92" t="s">
        <v>107</v>
      </c>
      <c r="C25" s="92" t="s">
        <v>101</v>
      </c>
      <c r="D25" s="93">
        <v>1200</v>
      </c>
    </row>
    <row r="26" spans="2:4" ht="16" thickBot="1">
      <c r="B26" s="92" t="s">
        <v>107</v>
      </c>
      <c r="C26" s="92" t="s">
        <v>103</v>
      </c>
      <c r="D26" s="96">
        <v>800</v>
      </c>
    </row>
    <row r="27" spans="2:4" ht="16" thickBot="1">
      <c r="B27" s="92" t="s">
        <v>107</v>
      </c>
      <c r="C27" s="92" t="s">
        <v>104</v>
      </c>
      <c r="D27" s="93">
        <v>500</v>
      </c>
    </row>
    <row r="28" spans="2:4" ht="16" thickBot="1">
      <c r="B28" s="92" t="s">
        <v>107</v>
      </c>
      <c r="C28" s="92" t="s">
        <v>105</v>
      </c>
      <c r="D28" s="93">
        <v>300</v>
      </c>
    </row>
    <row r="29" spans="2:4" ht="16" thickBot="1">
      <c r="B29" s="92" t="s">
        <v>94</v>
      </c>
      <c r="C29" s="92" t="s">
        <v>101</v>
      </c>
      <c r="D29" s="93">
        <v>1200</v>
      </c>
    </row>
    <row r="30" spans="2:4" ht="16" thickBot="1">
      <c r="B30" s="92" t="s">
        <v>94</v>
      </c>
      <c r="C30" s="95" t="s">
        <v>38</v>
      </c>
      <c r="D30" s="93">
        <v>800</v>
      </c>
    </row>
    <row r="31" spans="2:4" ht="16" thickBot="1">
      <c r="B31" s="92" t="s">
        <v>94</v>
      </c>
      <c r="C31" s="95" t="s">
        <v>90</v>
      </c>
      <c r="D31" s="93">
        <v>500</v>
      </c>
    </row>
    <row r="32" spans="2:4" ht="16" thickBot="1">
      <c r="B32" s="92" t="s">
        <v>94</v>
      </c>
      <c r="C32" s="95" t="s">
        <v>99</v>
      </c>
      <c r="D32" s="93">
        <v>200</v>
      </c>
    </row>
    <row r="33" spans="2:4" ht="16" thickBot="1">
      <c r="B33" s="92" t="s">
        <v>95</v>
      </c>
      <c r="C33" s="92" t="s">
        <v>101</v>
      </c>
      <c r="D33" s="93">
        <v>1800</v>
      </c>
    </row>
    <row r="34" spans="2:4" ht="16" thickBot="1">
      <c r="B34" s="92" t="s">
        <v>95</v>
      </c>
      <c r="C34" s="95" t="s">
        <v>38</v>
      </c>
      <c r="D34" s="93">
        <v>1000</v>
      </c>
    </row>
    <row r="35" spans="2:4" ht="16" thickBot="1">
      <c r="B35" s="92" t="s">
        <v>95</v>
      </c>
      <c r="C35" s="95" t="s">
        <v>90</v>
      </c>
      <c r="D35" s="93">
        <v>600</v>
      </c>
    </row>
    <row r="36" spans="2:4" ht="16" thickBot="1">
      <c r="B36" s="92" t="s">
        <v>95</v>
      </c>
      <c r="C36" s="95" t="s">
        <v>99</v>
      </c>
      <c r="D36" s="93">
        <v>300</v>
      </c>
    </row>
    <row r="37" spans="2:4" ht="16" thickBot="1">
      <c r="B37" s="92" t="s">
        <v>98</v>
      </c>
      <c r="C37" s="92" t="s">
        <v>101</v>
      </c>
      <c r="D37" s="93">
        <v>1200</v>
      </c>
    </row>
    <row r="38" spans="2:4" ht="16" thickBot="1">
      <c r="B38" s="92" t="s">
        <v>98</v>
      </c>
      <c r="C38" s="95" t="s">
        <v>38</v>
      </c>
      <c r="D38" s="93">
        <v>800</v>
      </c>
    </row>
    <row r="39" spans="2:4" ht="16" thickBot="1">
      <c r="B39" s="92" t="s">
        <v>98</v>
      </c>
      <c r="C39" s="95" t="s">
        <v>90</v>
      </c>
      <c r="D39" s="93">
        <v>500</v>
      </c>
    </row>
    <row r="40" spans="2:4" ht="16" thickBot="1">
      <c r="B40" s="92" t="s">
        <v>98</v>
      </c>
      <c r="C40" s="95" t="s">
        <v>99</v>
      </c>
      <c r="D40" s="93">
        <v>200</v>
      </c>
    </row>
    <row r="41" spans="2:4" ht="16" thickBot="1">
      <c r="B41" s="92" t="s">
        <v>100</v>
      </c>
      <c r="C41" s="95" t="s">
        <v>108</v>
      </c>
      <c r="D41" s="93">
        <v>2000</v>
      </c>
    </row>
    <row r="42" spans="2:4" ht="16" thickBot="1">
      <c r="B42" s="92" t="s">
        <v>100</v>
      </c>
      <c r="C42" s="95" t="s">
        <v>38</v>
      </c>
      <c r="D42" s="93">
        <v>1500</v>
      </c>
    </row>
    <row r="43" spans="2:4" ht="16" thickBot="1">
      <c r="B43" s="92" t="s">
        <v>100</v>
      </c>
      <c r="C43" s="95" t="s">
        <v>90</v>
      </c>
      <c r="D43" s="93">
        <v>1000</v>
      </c>
    </row>
    <row r="44" spans="2:4" ht="16" thickBot="1">
      <c r="B44" s="92" t="s">
        <v>100</v>
      </c>
      <c r="C44" s="95" t="s">
        <v>99</v>
      </c>
      <c r="D44" s="93">
        <v>500</v>
      </c>
    </row>
  </sheetData>
  <autoFilter ref="B2:D44" xr:uid="{00000000-0009-0000-0000-000004000000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8:D12"/>
  <sheetViews>
    <sheetView showGridLines="0" workbookViewId="0">
      <selection activeCell="D8" sqref="D8:E13"/>
    </sheetView>
  </sheetViews>
  <sheetFormatPr baseColWidth="10" defaultColWidth="8.83203125" defaultRowHeight="15"/>
  <cols>
    <col min="3" max="3" width="13" customWidth="1"/>
    <col min="4" max="4" width="15.1640625" bestFit="1" customWidth="1"/>
  </cols>
  <sheetData>
    <row r="8" spans="3:4">
      <c r="C8" t="s">
        <v>63</v>
      </c>
      <c r="D8" t="s">
        <v>66</v>
      </c>
    </row>
    <row r="10" spans="3:4">
      <c r="C10" t="s">
        <v>64</v>
      </c>
      <c r="D10" t="s">
        <v>67</v>
      </c>
    </row>
    <row r="12" spans="3:4">
      <c r="C12" t="s">
        <v>65</v>
      </c>
      <c r="D1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销售清单</vt:lpstr>
      <vt:lpstr>采购清单</vt:lpstr>
      <vt:lpstr>项目人员成本</vt:lpstr>
      <vt:lpstr>人员成本单价</vt:lpstr>
      <vt:lpstr>填表说明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Elfin lian</dc:creator>
  <cp:lastModifiedBy>Microsoft Office User</cp:lastModifiedBy>
  <dcterms:created xsi:type="dcterms:W3CDTF">2019-02-18T02:01:40Z</dcterms:created>
  <dcterms:modified xsi:type="dcterms:W3CDTF">2019-11-12T02:44:14Z</dcterms:modified>
</cp:coreProperties>
</file>