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onzz/Documents/GitHub/olspthermo/"/>
    </mc:Choice>
  </mc:AlternateContent>
  <xr:revisionPtr revIDLastSave="0" documentId="13_ncr:1_{2F2CF533-BD39-444D-8915-5A5B87B76F65}" xr6:coauthVersionLast="47" xr6:coauthVersionMax="47" xr10:uidLastSave="{00000000-0000-0000-0000-000000000000}"/>
  <bookViews>
    <workbookView xWindow="840" yWindow="500" windowWidth="27960" windowHeight="17500" xr2:uid="{F6D56C55-FC58-0A42-B3DC-AB43C104A5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4" i="1" l="1"/>
  <c r="BZ4" i="1" l="1"/>
  <c r="BY4" i="1"/>
  <c r="BX4" i="1"/>
  <c r="BW4" i="1"/>
  <c r="BV4" i="1"/>
  <c r="BL4" i="1"/>
  <c r="BK4" i="1"/>
  <c r="BJ4" i="1"/>
  <c r="AC4" i="1"/>
  <c r="AB4" i="1"/>
  <c r="AA4" i="1"/>
  <c r="Z4" i="1"/>
  <c r="Y4" i="1"/>
  <c r="X4" i="1"/>
  <c r="W4" i="1"/>
  <c r="AD4" i="1" l="1"/>
  <c r="BI4" i="1"/>
  <c r="BP4" i="1" s="1"/>
  <c r="BO4" i="1"/>
  <c r="AE4" i="1"/>
  <c r="BN4" i="1" l="1"/>
  <c r="AF4" i="1"/>
  <c r="AG4" i="1" s="1"/>
  <c r="AK4" i="1" s="1"/>
  <c r="AH4" i="1" l="1"/>
  <c r="AI4" i="1" l="1"/>
  <c r="AO4" i="1" s="1"/>
  <c r="AN4" i="1"/>
  <c r="AJ4" i="1"/>
  <c r="AM4" i="1" s="1"/>
  <c r="AL4" i="1" l="1"/>
  <c r="AP4" i="1"/>
  <c r="AQ4" i="1" l="1"/>
  <c r="AU4" i="1" l="1"/>
  <c r="AR4" i="1"/>
  <c r="AS4" i="1"/>
  <c r="AT4" i="1"/>
  <c r="AX4" i="1" l="1"/>
  <c r="BE4" i="1"/>
  <c r="BA4" i="1"/>
  <c r="AZ4" i="1"/>
  <c r="AW4" i="1"/>
  <c r="BD4" i="1"/>
  <c r="BC4" i="1"/>
  <c r="BH4" i="1"/>
  <c r="BF4" i="1"/>
  <c r="BG4" i="1"/>
  <c r="AV4" i="1"/>
  <c r="AY4" i="1"/>
  <c r="BB4" i="1"/>
  <c r="BM4" i="1" l="1"/>
  <c r="BR4" i="1" l="1"/>
  <c r="BT4" i="1" s="1"/>
  <c r="BQ4" i="1"/>
  <c r="BS4" i="1" s="1"/>
</calcChain>
</file>

<file path=xl/sharedStrings.xml><?xml version="1.0" encoding="utf-8"?>
<sst xmlns="http://schemas.openxmlformats.org/spreadsheetml/2006/main" count="98" uniqueCount="76">
  <si>
    <t>sample_no</t>
  </si>
  <si>
    <t>SiO2</t>
  </si>
  <si>
    <t>TiO2</t>
  </si>
  <si>
    <t>Al2O3</t>
  </si>
  <si>
    <t>FeO</t>
  </si>
  <si>
    <t>MnO</t>
  </si>
  <si>
    <t>MgO</t>
  </si>
  <si>
    <t>CaO</t>
  </si>
  <si>
    <t>Na2O</t>
  </si>
  <si>
    <t>P2O5</t>
  </si>
  <si>
    <t>Cr2O3</t>
  </si>
  <si>
    <t>NiO</t>
  </si>
  <si>
    <t>Total</t>
  </si>
  <si>
    <t>PI082_02</t>
  </si>
  <si>
    <t>olivine</t>
  </si>
  <si>
    <t>spinel</t>
  </si>
  <si>
    <t>spinel_components</t>
  </si>
  <si>
    <t>Si</t>
  </si>
  <si>
    <t>Ti</t>
  </si>
  <si>
    <t>Al</t>
  </si>
  <si>
    <t>Cr</t>
  </si>
  <si>
    <t>Fe</t>
  </si>
  <si>
    <t>Mn</t>
  </si>
  <si>
    <t>Mg</t>
  </si>
  <si>
    <t>sum_cation</t>
  </si>
  <si>
    <t>sum_charge</t>
  </si>
  <si>
    <t>fe3</t>
  </si>
  <si>
    <t>fe2</t>
  </si>
  <si>
    <t>fTet</t>
  </si>
  <si>
    <t>fOct</t>
  </si>
  <si>
    <t>proj</t>
  </si>
  <si>
    <t>mFeCr2O4</t>
  </si>
  <si>
    <t>mFe/MnAl2O4</t>
  </si>
  <si>
    <t>mFe3O4</t>
  </si>
  <si>
    <t>mMgAl2O4</t>
  </si>
  <si>
    <t>mFe2TiO4</t>
  </si>
  <si>
    <t>sum_comps</t>
  </si>
  <si>
    <t>X2</t>
  </si>
  <si>
    <t>X3</t>
  </si>
  <si>
    <t>X4</t>
  </si>
  <si>
    <t>X5</t>
  </si>
  <si>
    <t>reg_X2(1+X4-X2)</t>
  </si>
  <si>
    <t>reg_(1-X2)X3</t>
  </si>
  <si>
    <t>reg_(1-X2)X4</t>
  </si>
  <si>
    <t>reg_(1-X2)X5</t>
  </si>
  <si>
    <t>reg_X3(X3+X4+X5)</t>
  </si>
  <si>
    <t>reg_X4(X3+X4+X5)</t>
  </si>
  <si>
    <t>reg_X5(X3+X4+X5)</t>
  </si>
  <si>
    <t>reg_X3X4</t>
  </si>
  <si>
    <t>reg_X3X5</t>
  </si>
  <si>
    <t>reg_X4X5</t>
  </si>
  <si>
    <t>reg_X2pow0.5</t>
  </si>
  <si>
    <t>reg_X2pow2</t>
  </si>
  <si>
    <t>reg_X2</t>
  </si>
  <si>
    <t>Cr#</t>
  </si>
  <si>
    <t>Fo</t>
  </si>
  <si>
    <t>t_thermo</t>
  </si>
  <si>
    <t>t_kdcr</t>
  </si>
  <si>
    <t>t_kdal</t>
  </si>
  <si>
    <t>t_coogan</t>
  </si>
  <si>
    <t>t_chosen</t>
  </si>
  <si>
    <t>err_chosen</t>
  </si>
  <si>
    <t>z_thermo_cr</t>
  </si>
  <si>
    <t>z_thermo_al</t>
  </si>
  <si>
    <t>p_thermo_cr</t>
  </si>
  <si>
    <t>p_thermo_al</t>
  </si>
  <si>
    <t>Calculate template for the new olivine-spinel Al exchange thermometers (OSAT)</t>
  </si>
  <si>
    <t>Regression terms for thermodynamic model (Eq. 5)</t>
  </si>
  <si>
    <t>lnkdAl</t>
  </si>
  <si>
    <t>lnkdCr</t>
  </si>
  <si>
    <t>Temperature estimation</t>
  </si>
  <si>
    <t>Z-test for models</t>
  </si>
  <si>
    <t>corresponding p-values for the z-test</t>
  </si>
  <si>
    <t>favored result from Z-test of Eq5, 7 &amp; 8</t>
  </si>
  <si>
    <t>favored result from Z-test of Eq5 &amp; 7</t>
  </si>
  <si>
    <t>favored result from Z-test of Eq5 &amp;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</si>
</sst>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 wrapText="1"/>
    </xf>
    <xf numFmtId="2" fontId="2" fillId="0" borderId="0" xfId="0" applyNumberFormat="1" applyFont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FB3C-A287-8841-85EE-7DDA979DC065}">
  <dimension ref="A1:BZ4"/>
  <sheetViews>
    <sheetView tabSelected="1" topLeftCell="BI1" workbookViewId="0">
      <selection activeCell="BT12" sqref="BT12"/>
    </sheetView>
  </sheetViews>
  <sheetFormatPr baseColWidth="10" defaultColWidth="11.5" defaultRowHeight="16" x14ac:dyDescent="0.2"/>
  <cols>
    <col min="1" max="1" width="10.1640625" style="2" bestFit="1" customWidth="1"/>
    <col min="2" max="2" width="5.6640625" style="2" bestFit="1" customWidth="1"/>
    <col min="3" max="3" width="5" style="2" bestFit="1" customWidth="1"/>
    <col min="4" max="5" width="6.1640625" style="2" bestFit="1" customWidth="1"/>
    <col min="6" max="6" width="5.6640625" style="2" bestFit="1" customWidth="1"/>
    <col min="7" max="7" width="5.1640625" style="2" bestFit="1" customWidth="1"/>
    <col min="8" max="8" width="5.6640625" style="2" bestFit="1" customWidth="1"/>
    <col min="9" max="9" width="4.6640625" style="2" bestFit="1" customWidth="1"/>
    <col min="10" max="10" width="5.83203125" style="2" bestFit="1" customWidth="1"/>
    <col min="11" max="11" width="5.5" style="2" bestFit="1" customWidth="1"/>
    <col min="12" max="12" width="4.6640625" style="2" bestFit="1" customWidth="1"/>
    <col min="13" max="13" width="5.6640625" style="2" bestFit="1" customWidth="1"/>
    <col min="14" max="15" width="5" style="2" bestFit="1" customWidth="1"/>
    <col min="16" max="17" width="6.1640625" style="2" bestFit="1" customWidth="1"/>
    <col min="18" max="18" width="5.6640625" style="2" bestFit="1" customWidth="1"/>
    <col min="19" max="19" width="5.1640625" style="2" bestFit="1" customWidth="1"/>
    <col min="20" max="20" width="5.6640625" style="2" bestFit="1" customWidth="1"/>
    <col min="21" max="21" width="4.6640625" style="2" bestFit="1" customWidth="1"/>
    <col min="22" max="22" width="5.6640625" style="2" bestFit="1" customWidth="1"/>
    <col min="23" max="29" width="4.6640625" style="2" bestFit="1" customWidth="1"/>
    <col min="30" max="30" width="10.6640625" style="2" bestFit="1" customWidth="1"/>
    <col min="31" max="31" width="11.1640625" style="2" bestFit="1" customWidth="1"/>
    <col min="32" max="37" width="4.6640625" style="2" bestFit="1" customWidth="1"/>
    <col min="38" max="38" width="9.83203125" style="2" bestFit="1" customWidth="1"/>
    <col min="39" max="39" width="13.33203125" style="2" bestFit="1" customWidth="1"/>
    <col min="40" max="40" width="8.1640625" style="2" bestFit="1" customWidth="1"/>
    <col min="41" max="41" width="10.5" style="2" bestFit="1" customWidth="1"/>
    <col min="42" max="42" width="9.6640625" style="2" bestFit="1" customWidth="1"/>
    <col min="43" max="43" width="11" style="2" bestFit="1" customWidth="1"/>
    <col min="44" max="47" width="4.6640625" style="2" bestFit="1" customWidth="1"/>
    <col min="48" max="48" width="14.83203125" style="2" bestFit="1" customWidth="1"/>
    <col min="49" max="51" width="11.83203125" style="2" bestFit="1" customWidth="1"/>
    <col min="52" max="54" width="16.33203125" style="2" bestFit="1" customWidth="1"/>
    <col min="55" max="57" width="8.83203125" style="2" bestFit="1" customWidth="1"/>
    <col min="58" max="58" width="12.83203125" style="2" bestFit="1" customWidth="1"/>
    <col min="59" max="59" width="11.33203125" style="2" bestFit="1" customWidth="1"/>
    <col min="60" max="60" width="6.83203125" style="2" bestFit="1" customWidth="1"/>
    <col min="61" max="61" width="4.6640625" style="2" bestFit="1" customWidth="1"/>
    <col min="62" max="63" width="6.1640625" style="2" bestFit="1" customWidth="1"/>
    <col min="64" max="64" width="4.6640625" style="2" bestFit="1" customWidth="1"/>
    <col min="65" max="65" width="8.83203125" style="2" bestFit="1" customWidth="1"/>
    <col min="66" max="67" width="7.6640625" style="2" bestFit="1" customWidth="1"/>
    <col min="68" max="68" width="8.6640625" style="2" bestFit="1" customWidth="1"/>
    <col min="69" max="70" width="11.5" style="2" customWidth="1"/>
    <col min="71" max="72" width="11.6640625" style="2" bestFit="1" customWidth="1"/>
    <col min="73" max="73" width="8.5" style="2" bestFit="1" customWidth="1"/>
    <col min="74" max="74" width="28" style="2" customWidth="1"/>
    <col min="75" max="75" width="24.83203125" style="2" customWidth="1"/>
    <col min="76" max="16384" width="11.5" style="2"/>
  </cols>
  <sheetData>
    <row r="1" spans="1:78" ht="80" customHeight="1" x14ac:dyDescent="0.2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</row>
    <row r="2" spans="1:78" s="5" customFormat="1" ht="33" customHeight="1" x14ac:dyDescent="0.2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15</v>
      </c>
      <c r="O2" s="8"/>
      <c r="P2" s="8"/>
      <c r="Q2" s="8"/>
      <c r="R2" s="8"/>
      <c r="S2" s="8"/>
      <c r="T2" s="8"/>
      <c r="U2" s="8"/>
      <c r="V2" s="8"/>
      <c r="W2" s="8" t="s">
        <v>16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 t="s">
        <v>67</v>
      </c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M2" s="6" t="s">
        <v>70</v>
      </c>
      <c r="BN2" s="6"/>
      <c r="BO2" s="6"/>
      <c r="BP2" s="6"/>
      <c r="BQ2" s="8" t="s">
        <v>71</v>
      </c>
      <c r="BR2" s="8"/>
      <c r="BS2" s="6" t="s">
        <v>72</v>
      </c>
      <c r="BT2" s="6"/>
      <c r="BU2" s="6" t="s">
        <v>73</v>
      </c>
      <c r="BV2" s="6"/>
      <c r="BW2" s="6" t="s">
        <v>74</v>
      </c>
      <c r="BX2" s="6"/>
      <c r="BY2" s="6" t="s">
        <v>75</v>
      </c>
      <c r="BZ2" s="6"/>
    </row>
    <row r="3" spans="1:78" s="3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10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11</v>
      </c>
      <c r="M3" s="4" t="s">
        <v>12</v>
      </c>
      <c r="N3" s="4" t="s">
        <v>1</v>
      </c>
      <c r="O3" s="4" t="s">
        <v>2</v>
      </c>
      <c r="P3" s="4" t="s">
        <v>3</v>
      </c>
      <c r="Q3" s="4" t="s">
        <v>10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12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3" t="s">
        <v>24</v>
      </c>
      <c r="AE3" s="3" t="s">
        <v>25</v>
      </c>
      <c r="AF3" s="3" t="s">
        <v>26</v>
      </c>
      <c r="AG3" s="3" t="s">
        <v>27</v>
      </c>
      <c r="AH3" s="3" t="s">
        <v>26</v>
      </c>
      <c r="AI3" s="3" t="s">
        <v>28</v>
      </c>
      <c r="AJ3" s="3" t="s">
        <v>29</v>
      </c>
      <c r="AK3" s="3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3" t="s">
        <v>37</v>
      </c>
      <c r="AS3" s="3" t="s">
        <v>38</v>
      </c>
      <c r="AT3" s="3" t="s">
        <v>39</v>
      </c>
      <c r="AU3" s="3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  <c r="BB3" s="4" t="s">
        <v>47</v>
      </c>
      <c r="BC3" s="4" t="s">
        <v>48</v>
      </c>
      <c r="BD3" s="4" t="s">
        <v>49</v>
      </c>
      <c r="BE3" s="4" t="s">
        <v>50</v>
      </c>
      <c r="BF3" s="4" t="s">
        <v>51</v>
      </c>
      <c r="BG3" s="4" t="s">
        <v>52</v>
      </c>
      <c r="BH3" s="4" t="s">
        <v>53</v>
      </c>
      <c r="BI3" s="4" t="s">
        <v>54</v>
      </c>
      <c r="BJ3" s="4" t="s">
        <v>68</v>
      </c>
      <c r="BK3" s="4" t="s">
        <v>69</v>
      </c>
      <c r="BL3" s="4" t="s">
        <v>55</v>
      </c>
      <c r="BM3" s="4" t="s">
        <v>56</v>
      </c>
      <c r="BN3" s="4" t="s">
        <v>57</v>
      </c>
      <c r="BO3" s="4" t="s">
        <v>58</v>
      </c>
      <c r="BP3" s="4" t="s">
        <v>59</v>
      </c>
      <c r="BQ3" s="4" t="s">
        <v>62</v>
      </c>
      <c r="BR3" s="4" t="s">
        <v>63</v>
      </c>
      <c r="BS3" s="4" t="s">
        <v>64</v>
      </c>
      <c r="BT3" s="4" t="s">
        <v>65</v>
      </c>
      <c r="BU3" s="4" t="s">
        <v>60</v>
      </c>
      <c r="BV3" s="4" t="s">
        <v>61</v>
      </c>
      <c r="BW3" s="4" t="s">
        <v>60</v>
      </c>
      <c r="BX3" s="4" t="s">
        <v>61</v>
      </c>
      <c r="BY3" s="4" t="s">
        <v>60</v>
      </c>
      <c r="BZ3" s="4" t="s">
        <v>61</v>
      </c>
    </row>
    <row r="4" spans="1:78" x14ac:dyDescent="0.2">
      <c r="A4" s="2" t="s">
        <v>13</v>
      </c>
      <c r="B4" s="2">
        <v>40.111999999999995</v>
      </c>
      <c r="C4" s="2">
        <v>1.9200000000000002E-2</v>
      </c>
      <c r="D4" s="2">
        <v>3.4100000000000005E-2</v>
      </c>
      <c r="E4" s="2">
        <v>3.6000000000000011E-2</v>
      </c>
      <c r="F4" s="2">
        <v>16.669000000000004</v>
      </c>
      <c r="G4" s="2">
        <v>0.26899999999999996</v>
      </c>
      <c r="H4" s="2">
        <v>42.334000000000003</v>
      </c>
      <c r="I4" s="2">
        <v>0.24200000000000008</v>
      </c>
      <c r="J4" s="2">
        <v>0</v>
      </c>
      <c r="K4" s="2">
        <v>0</v>
      </c>
      <c r="L4" s="2">
        <v>0.19600000000000001</v>
      </c>
      <c r="M4" s="2">
        <v>99.905999999999992</v>
      </c>
      <c r="N4" s="2">
        <v>7.1678571428571453E-2</v>
      </c>
      <c r="O4" s="2">
        <v>2.3813809523809502</v>
      </c>
      <c r="P4" s="2">
        <v>25.400154761904801</v>
      </c>
      <c r="Q4" s="2">
        <v>25.544071428571435</v>
      </c>
      <c r="R4" s="2">
        <v>31.851000000000006</v>
      </c>
      <c r="S4" s="2">
        <v>0.25536904761904805</v>
      </c>
      <c r="T4" s="2">
        <v>11.457654761904788</v>
      </c>
      <c r="U4" s="2">
        <v>5.9404761904761896E-3</v>
      </c>
      <c r="V4" s="2">
        <v>96.971690476190474</v>
      </c>
      <c r="W4" s="2">
        <f>N4/Sheet2!A$2</f>
        <v>1.1929667388747385E-3</v>
      </c>
      <c r="X4" s="2">
        <f>O4/Sheet2!B$2</f>
        <v>2.98172803926205E-2</v>
      </c>
      <c r="Y4" s="2">
        <f>P4/Sheet2!C$2*2</f>
        <v>0.49823140231993179</v>
      </c>
      <c r="Z4" s="2">
        <f>Q4/Sheet2!D$2*2</f>
        <v>0.33612743210849416</v>
      </c>
      <c r="AA4" s="2">
        <f>R4/Sheet2!E$2</f>
        <v>0.44333309207119842</v>
      </c>
      <c r="AB4" s="2">
        <f>S4/Sheet2!F$2</f>
        <v>3.5999186779193037E-3</v>
      </c>
      <c r="AC4" s="2">
        <f>T4/Sheet2!G$2</f>
        <v>0.28427801336590514</v>
      </c>
      <c r="AD4" s="2">
        <f>SUM(X4:AC4)</f>
        <v>1.5953871389360692</v>
      </c>
      <c r="AE4" s="2">
        <f>2*(AB4+AC4)+3*(Z4+Y4)+4*X4</f>
        <v>3.1981014889434092</v>
      </c>
      <c r="AF4" s="2">
        <f>IF((AD4*8/3-AE4-2*AA4)&gt;0, AD4*8/3-AE4-2*AA4, 0)</f>
        <v>0.16959803074371216</v>
      </c>
      <c r="AG4" s="2">
        <f>AA4-AF4</f>
        <v>0.27373506132748626</v>
      </c>
      <c r="AH4" s="2">
        <f>IF(AG4&lt;0, AA4,AF4)</f>
        <v>0.16959803074371216</v>
      </c>
      <c r="AI4" s="2">
        <f>IF(AH4=0, ((1/3)*AD4+X4)/(AC4+AG4), 1)</f>
        <v>1</v>
      </c>
      <c r="AJ4" s="2">
        <f>IF(AH4=0, (2/3)*AD4/(2*X4+Y4+Z4), 1)</f>
        <v>1</v>
      </c>
      <c r="AK4" s="2">
        <f>(AG4+AB4+AC4)/(AB4+AC4+AG4)</f>
        <v>1</v>
      </c>
      <c r="AL4" s="2">
        <f>Z4*AJ4/2</f>
        <v>0.16806371605424708</v>
      </c>
      <c r="AM4" s="2">
        <f>(AG4*AI4+AB4*AI4-Z4*AJ4/2-AH4/2-2*X4*AJ4)*AK4</f>
        <v>-3.5162312205938587E-2</v>
      </c>
      <c r="AN4" s="2">
        <f>AH4/2</f>
        <v>8.4799015371856079E-2</v>
      </c>
      <c r="AO4" s="2">
        <f>AK4*AI4*AC4</f>
        <v>0.28427801336590514</v>
      </c>
      <c r="AP4" s="2">
        <f>AJ4*X4</f>
        <v>2.98172803926205E-2</v>
      </c>
      <c r="AQ4" s="2">
        <f>SUM(AL4:AP4)</f>
        <v>0.53179571297869022</v>
      </c>
      <c r="AR4" s="2">
        <f>AO4/AQ4</f>
        <v>0.53456243897418654</v>
      </c>
      <c r="AS4" s="2">
        <f>AL4/AQ4</f>
        <v>0.31603059587090282</v>
      </c>
      <c r="AT4" s="2">
        <f>AP4/AQ4</f>
        <v>5.6069049947033552E-2</v>
      </c>
      <c r="AU4" s="2">
        <f>AN4/AQ4</f>
        <v>0.15945787696722952</v>
      </c>
      <c r="AV4" s="2">
        <f>(1-AR4)*(1+AT4-AR4)</f>
        <v>0.24272876507003963</v>
      </c>
      <c r="AW4" s="2">
        <f>AS4*(1-AR4)</f>
        <v>0.14709250975168753</v>
      </c>
      <c r="AX4" s="2">
        <f>AT4*(1-AR4)</f>
        <v>2.6096641856381813E-2</v>
      </c>
      <c r="AY4" s="2">
        <f>AU4*(1-AR4)</f>
        <v>7.4217685341981546E-2</v>
      </c>
      <c r="AZ4" s="2">
        <f>AS4*(AS4+AT4+AU4)</f>
        <v>0.16798844066545698</v>
      </c>
      <c r="BA4" s="2">
        <f>AT4*(AS4+AT4+AU4)</f>
        <v>2.980392529476289E-2</v>
      </c>
      <c r="BB4" s="2">
        <f>AU4*(AS4+AT4+AU4)</f>
        <v>8.4761034069282287E-2</v>
      </c>
      <c r="BC4" s="2">
        <f>AS4*AT4</f>
        <v>1.7719535264676425E-2</v>
      </c>
      <c r="BD4" s="2">
        <f>AS4*AU4</f>
        <v>5.0393567874262656E-2</v>
      </c>
      <c r="BE4" s="2">
        <f>AT4*AU4</f>
        <v>8.9406516681235226E-3</v>
      </c>
      <c r="BF4" s="2">
        <f>AR4^0.5</f>
        <v>0.73113777017343762</v>
      </c>
      <c r="BG4" s="2">
        <f>AR4^2</f>
        <v>0.2857570011620309</v>
      </c>
      <c r="BH4" s="2">
        <f>AR4</f>
        <v>0.53456243897418654</v>
      </c>
      <c r="BI4" s="2">
        <f>Z4/(Z4+Y4)</f>
        <v>0.40285716197726468</v>
      </c>
      <c r="BJ4" s="2">
        <f>LN(D4/P4)</f>
        <v>-6.6132131616869723</v>
      </c>
      <c r="BK4" s="2">
        <f>LN(E4/Q4)</f>
        <v>-6.5646415922300658</v>
      </c>
      <c r="BL4" s="2">
        <f>H4/Sheet2!G2/(Sheet1!H4/Sheet2!G2+Sheet1!F4/Sheet2!E2)</f>
        <v>0.81907333876206956</v>
      </c>
      <c r="BM4" s="2">
        <f>10000/(-0.168118521 *(BJ4+0.654194424)/(0.390197643*AV4+0.00919774257*AW4-2.49266643*AX4+0.0646891489*AY4-0.0307131662*AZ4-4.14143648*BA4-0.427844629*BB4+4.63710203*BC4+0.054530766*BD4+10.8027441*BE4-0.630188015*BF4-0.593120349*BG4+1.4866989*BH4) + 2.7137923)-273.15</f>
        <v>1090.821372580865</v>
      </c>
      <c r="BN4" s="2">
        <f>10000/(0.0488-0.6572*BJ4-0.3886*BK4+0.5427*BI4)-273.15</f>
        <v>1122.5908142538769</v>
      </c>
      <c r="BO4" s="2">
        <f>10000/(0.7395-0.8654*BJ4+1.1438*BI4)-273.15</f>
        <v>1171.2348235142249</v>
      </c>
      <c r="BP4" s="2">
        <f>10000/(0.575+0.884*BI4-0.897*BJ4)-273.15</f>
        <v>1183.9009596971014</v>
      </c>
      <c r="BQ4" s="2">
        <f>ABS(BM4-BN4)/SQRT(23.9^2+34.2^2)</f>
        <v>0.76142811124794862</v>
      </c>
      <c r="BR4" s="2">
        <f>ABS(BM4-BO4)/SQRT(23.9^2+43.3^2)</f>
        <v>1.6258916339460603</v>
      </c>
      <c r="BS4" s="2">
        <f>1-_xlfn.NORM.DIST(BQ4, 0,1,TRUE)</f>
        <v>0.22320070108369805</v>
      </c>
      <c r="BT4" s="2">
        <f>1-_xlfn.NORM.DIST(BR4, 0,1,TRUE)</f>
        <v>5.1986355076170887E-2</v>
      </c>
      <c r="BU4" s="2">
        <f>IF(AND(BM4&gt;BN4,BM4&gt;BO4),BM4,IF(AND(BR4&gt;BQ4, BQ4&gt;0.6744897*2),BO4,IF(AND(BQ4&gt;BR4, BR4&gt;0.6744897*2),BN4,IF(AND(BQ4&lt;0.6744897*2,BR4&lt;0.6744897*2),BM4,IF(AND(BR4&gt;0.6744897*2, 0.6744897*2&gt;BQ4),BO4,IF(AND(BQ4&gt;0.6744897*2, 0.6744897*2&gt;BR4),BN4,BM4))))))</f>
        <v>1171.2348235142249</v>
      </c>
      <c r="BV4" s="2">
        <f>IF(BU4=BN4,34.2,IF(BU4=BM4,23.9,IF(BU4=BO4,43.4)))</f>
        <v>43.4</v>
      </c>
      <c r="BW4" s="2">
        <f>IF(BR4&gt; 0.6744897 *2, BO4,BM4)</f>
        <v>1171.2348235142249</v>
      </c>
      <c r="BX4" s="2">
        <f>IF(BW4=BO4, 43.3, 23.9)</f>
        <v>43.3</v>
      </c>
      <c r="BY4" s="2">
        <f>IF(BQ4&gt;0.6744897*2, BN4, BM4)</f>
        <v>1090.821372580865</v>
      </c>
      <c r="BZ4" s="2">
        <f>IF(BY4=BN4,34.2,23.9)</f>
        <v>23.9</v>
      </c>
    </row>
  </sheetData>
  <mergeCells count="11">
    <mergeCell ref="BW2:BX2"/>
    <mergeCell ref="BY2:BZ2"/>
    <mergeCell ref="A1:BV1"/>
    <mergeCell ref="B2:M2"/>
    <mergeCell ref="N2:V2"/>
    <mergeCell ref="W2:AU2"/>
    <mergeCell ref="AV2:BH2"/>
    <mergeCell ref="BM2:BP2"/>
    <mergeCell ref="BQ2:BR2"/>
    <mergeCell ref="BS2:BT2"/>
    <mergeCell ref="BU2:B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68BE-B7D3-094D-8310-CAC42BAC1868}">
  <dimension ref="A1:H2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1" t="s">
        <v>1</v>
      </c>
      <c r="B1" s="1" t="s">
        <v>2</v>
      </c>
      <c r="C1" s="1" t="s">
        <v>3</v>
      </c>
      <c r="D1" s="1" t="s">
        <v>10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60.084299999999999</v>
      </c>
      <c r="B2">
        <v>79.865799999999993</v>
      </c>
      <c r="C2">
        <v>101.961276</v>
      </c>
      <c r="D2">
        <v>151.99039999999999</v>
      </c>
      <c r="E2">
        <v>71.844399999999993</v>
      </c>
      <c r="F2">
        <v>70.937449000000001</v>
      </c>
      <c r="G2">
        <v>40.304400000000001</v>
      </c>
      <c r="H2">
        <v>56.077399999999997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EZ</cp:lastModifiedBy>
  <dcterms:created xsi:type="dcterms:W3CDTF">2023-03-23T08:53:53Z</dcterms:created>
  <dcterms:modified xsi:type="dcterms:W3CDTF">2024-01-05T22:29:36Z</dcterms:modified>
</cp:coreProperties>
</file>