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4548" tabRatio="848" activeTab="7"/>
  </bookViews>
  <sheets>
    <sheet name="Estimate Input" sheetId="1" r:id="rId1"/>
    <sheet name="Turbine &amp; Transportation" sheetId="16" r:id="rId2"/>
    <sheet name="Insurance, Bonds &amp; Permitting" sheetId="13" r:id="rId3"/>
    <sheet name="Engineering" sheetId="12" r:id="rId4"/>
    <sheet name="Met Masts &amp; Power Performance" sheetId="10" r:id="rId5"/>
    <sheet name="Access Roads &amp; Site Imp." sheetId="9" r:id="rId6"/>
    <sheet name="Site Compound &amp; Security" sheetId="8" r:id="rId7"/>
    <sheet name="Control - O&amp;M Bldg" sheetId="7" r:id="rId8"/>
    <sheet name="WTG Foundations" sheetId="15" r:id="rId9"/>
    <sheet name="WTG Erection" sheetId="14" r:id="rId10"/>
    <sheet name="MV Electrical Materials" sheetId="6" r:id="rId11"/>
    <sheet name="MV Electrical Installation" sheetId="5" r:id="rId12"/>
    <sheet name="Collector Substation" sheetId="4" r:id="rId13"/>
    <sheet name="Trans. Line &amp; Interconnect" sheetId="2" r:id="rId14"/>
    <sheet name="Construction Management" sheetId="21" r:id="rId15"/>
    <sheet name="Project Management" sheetId="19" r:id="rId16"/>
    <sheet name="Markup &amp; Contingency" sheetId="17" r:id="rId17"/>
    <sheet name="Development" sheetId="18" r:id="rId18"/>
    <sheet name="Estimate Report" sheetId="3" r:id="rId19"/>
  </sheets>
  <definedNames>
    <definedName name="solver_adj" localSheetId="13" hidden="1">'Trans. Line &amp; Interconnect'!#REF!</definedName>
    <definedName name="solver_cvg" localSheetId="13" hidden="1">0.00001</definedName>
    <definedName name="solver_drv" localSheetId="13" hidden="1">1</definedName>
    <definedName name="solver_est" localSheetId="13" hidden="1">1</definedName>
    <definedName name="solver_itr" localSheetId="13" hidden="1">10000</definedName>
    <definedName name="solver_lin" localSheetId="13" hidden="1">2</definedName>
    <definedName name="solver_neg" localSheetId="13" hidden="1">2</definedName>
    <definedName name="solver_num" localSheetId="13" hidden="1">0</definedName>
    <definedName name="solver_nwt" localSheetId="13" hidden="1">1</definedName>
    <definedName name="solver_opt" localSheetId="13" hidden="1">'Trans. Line &amp; Interconnect'!#REF!</definedName>
    <definedName name="solver_pre" localSheetId="13" hidden="1">0.000001</definedName>
    <definedName name="solver_scl" localSheetId="13" hidden="1">2</definedName>
    <definedName name="solver_sho" localSheetId="13" hidden="1">2</definedName>
    <definedName name="solver_tim" localSheetId="13" hidden="1">60</definedName>
    <definedName name="solver_tol" localSheetId="13" hidden="1">0.01</definedName>
    <definedName name="solver_typ" localSheetId="13" hidden="1">2</definedName>
    <definedName name="solver_val" localSheetId="13" hidden="1">0</definedName>
  </definedNames>
  <calcPr calcId="145621" iterate="1" iterateCount="10" iterateDelta="1"/>
</workbook>
</file>

<file path=xl/calcChain.xml><?xml version="1.0" encoding="utf-8"?>
<calcChain xmlns="http://schemas.openxmlformats.org/spreadsheetml/2006/main">
  <c r="C9" i="9" l="1"/>
  <c r="D7" i="1"/>
  <c r="C8" i="7" s="1"/>
  <c r="D16" i="1" s="1"/>
  <c r="C4" i="7"/>
  <c r="C5" i="7" s="1"/>
  <c r="C11" i="3" s="1"/>
  <c r="C4" i="16"/>
  <c r="C5" i="16" s="1"/>
  <c r="C6" i="3" s="1"/>
  <c r="D21" i="1"/>
  <c r="D20" i="1"/>
  <c r="D19" i="1"/>
  <c r="C4" i="21"/>
  <c r="D15" i="1"/>
  <c r="C4" i="19"/>
  <c r="C5" i="19" s="1"/>
  <c r="C21" i="3" s="1"/>
  <c r="D21" i="3" s="1"/>
  <c r="C4" i="15"/>
  <c r="C5" i="15" s="1"/>
  <c r="C16" i="3" s="1"/>
  <c r="C4" i="2"/>
  <c r="C5" i="2"/>
  <c r="C12" i="3"/>
  <c r="C3" i="18"/>
  <c r="C4" i="18"/>
  <c r="C14" i="3"/>
  <c r="D14" i="3" s="1"/>
  <c r="G13" i="13"/>
  <c r="G11" i="13"/>
  <c r="C4" i="14"/>
  <c r="C5" i="14" s="1"/>
  <c r="C17" i="3" s="1"/>
  <c r="D10" i="9"/>
  <c r="C11" i="9"/>
  <c r="D9" i="9"/>
  <c r="C4" i="9" s="1"/>
  <c r="C5" i="9" s="1"/>
  <c r="C15" i="3" s="1"/>
  <c r="D15" i="3" s="1"/>
  <c r="D11" i="9"/>
  <c r="C4" i="12"/>
  <c r="C5" i="12" s="1"/>
  <c r="C8" i="3" s="1"/>
  <c r="D8" i="3" s="1"/>
  <c r="D10" i="6"/>
  <c r="F10" i="10"/>
  <c r="D17" i="1" s="1"/>
  <c r="C4" i="4"/>
  <c r="C5" i="4" s="1"/>
  <c r="C20" i="3" s="1"/>
  <c r="D20" i="3" s="1"/>
  <c r="C4" i="8"/>
  <c r="C5" i="8" s="1"/>
  <c r="C10" i="3" s="1"/>
  <c r="D10" i="3" s="1"/>
  <c r="C10" i="5"/>
  <c r="D9" i="6"/>
  <c r="C4" i="6"/>
  <c r="C5" i="6" s="1"/>
  <c r="C18" i="3" s="1"/>
  <c r="D18" i="3" s="1"/>
  <c r="D11" i="6"/>
  <c r="D11" i="5"/>
  <c r="D12" i="3"/>
  <c r="C10" i="10"/>
  <c r="C4" i="10" s="1"/>
  <c r="C5" i="10" s="1"/>
  <c r="C9" i="3" s="1"/>
  <c r="D9" i="3" s="1"/>
  <c r="C11" i="5"/>
  <c r="C5" i="21"/>
  <c r="C8" i="10"/>
  <c r="C10" i="9" l="1"/>
  <c r="D10" i="5"/>
  <c r="C9" i="5"/>
  <c r="D17" i="3"/>
  <c r="D12" i="13"/>
  <c r="G12" i="13" s="1"/>
  <c r="D16" i="3"/>
  <c r="D6" i="3"/>
  <c r="D11" i="3"/>
  <c r="C9" i="6"/>
  <c r="C11" i="6"/>
  <c r="C10" i="6"/>
  <c r="D9" i="5"/>
  <c r="C4" i="5" s="1"/>
  <c r="C5" i="5" s="1"/>
  <c r="C19" i="3" s="1"/>
  <c r="D19" i="3" s="1"/>
  <c r="D18" i="1"/>
  <c r="C26" i="3" l="1"/>
  <c r="D26" i="3" l="1"/>
  <c r="C27" i="3"/>
  <c r="C7" i="3"/>
  <c r="D7" i="3"/>
  <c r="C13" i="3"/>
  <c r="D13" i="3"/>
  <c r="C24" i="3"/>
  <c r="D24" i="3"/>
  <c r="D7" i="13"/>
  <c r="G7" i="13"/>
  <c r="H7" i="13"/>
  <c r="I7" i="13"/>
  <c r="D8" i="13"/>
  <c r="G8" i="13"/>
  <c r="D9" i="13"/>
  <c r="G9" i="13"/>
  <c r="D10" i="13"/>
  <c r="G10" i="13"/>
  <c r="D11" i="13"/>
  <c r="C4" i="17"/>
  <c r="C5" i="17"/>
</calcChain>
</file>

<file path=xl/comments1.xml><?xml version="1.0" encoding="utf-8"?>
<comments xmlns="http://schemas.openxmlformats.org/spreadsheetml/2006/main">
  <authors>
    <author>NREL</author>
  </authors>
  <commentList>
    <comment ref="C14" authorId="0">
      <text>
        <r>
          <rPr>
            <b/>
            <sz val="9"/>
            <color indexed="81"/>
            <rFont val="Tahoma"/>
            <family val="2"/>
          </rPr>
          <t xml:space="preserve">NREL: </t>
        </r>
        <r>
          <rPr>
            <sz val="9"/>
            <color indexed="81"/>
            <rFont val="Tahoma"/>
            <family val="2"/>
          </rPr>
          <t>Values in Table are calculated by the model.  However, they can be modified for a project.  The GREEN table is to show the model calculated value and equation used, if wanting to again use the model output.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Used in Foundation calculation.  Entering a value will give a better estimate of costs.</t>
        </r>
      </text>
    </comment>
  </commentList>
</comments>
</file>

<file path=xl/sharedStrings.xml><?xml version="1.0" encoding="utf-8"?>
<sst xmlns="http://schemas.openxmlformats.org/spreadsheetml/2006/main" count="258" uniqueCount="158">
  <si>
    <t>Real Estate</t>
  </si>
  <si>
    <t>Property Leases</t>
  </si>
  <si>
    <t>Easements</t>
  </si>
  <si>
    <t>Alta Survey</t>
  </si>
  <si>
    <t>Title insurance</t>
  </si>
  <si>
    <t>Currative Title, Non-Disturbance Agreement</t>
  </si>
  <si>
    <t xml:space="preserve">Real Estate Legal </t>
  </si>
  <si>
    <t>Wind Resource Study</t>
  </si>
  <si>
    <t>Met-Masts</t>
  </si>
  <si>
    <t>Sodar</t>
  </si>
  <si>
    <t>Wind Resource Analysis</t>
  </si>
  <si>
    <t>Interconnection Costs</t>
  </si>
  <si>
    <t>Feasability Study</t>
  </si>
  <si>
    <t>System Impact Study</t>
  </si>
  <si>
    <t>Application Fees</t>
  </si>
  <si>
    <t>System Upgrades</t>
  </si>
  <si>
    <t>Interconnection Legal</t>
  </si>
  <si>
    <t xml:space="preserve">Environmental &amp; Permitting </t>
  </si>
  <si>
    <t>Avian Survey</t>
  </si>
  <si>
    <t>Habitat Mapping</t>
  </si>
  <si>
    <t>Archeological Survey</t>
  </si>
  <si>
    <t>Permitting</t>
  </si>
  <si>
    <t>Permitting Legal</t>
  </si>
  <si>
    <t>Power Marketing</t>
  </si>
  <si>
    <t>Sales Salary &amp; Travel</t>
  </si>
  <si>
    <t>Sales Legal</t>
  </si>
  <si>
    <t>(Development Fees Include the Following Typical Cost Elements)</t>
  </si>
  <si>
    <t>Wind Energy Plant Project Development Scope</t>
  </si>
  <si>
    <t>Typical Development Fee Ranges from $3M - $10M Depending on Project Complexity &amp; Size</t>
  </si>
  <si>
    <t>Yes</t>
  </si>
  <si>
    <t>General Liability</t>
  </si>
  <si>
    <t>Umbrella Policy to $10m</t>
  </si>
  <si>
    <t>Professional Liability</t>
  </si>
  <si>
    <t>Performance Bond</t>
  </si>
  <si>
    <t>Provisional County Building Permit (2% of foundation cost)</t>
  </si>
  <si>
    <t>Sub-Total</t>
  </si>
  <si>
    <t>Total</t>
  </si>
  <si>
    <t>Quantity</t>
  </si>
  <si>
    <t xml:space="preserve">Unit </t>
  </si>
  <si>
    <t>Rate</t>
  </si>
  <si>
    <t>$</t>
  </si>
  <si>
    <t>$/kW</t>
  </si>
  <si>
    <t>Element Group Description</t>
  </si>
  <si>
    <t>Element Detailed Description</t>
  </si>
  <si>
    <t>Notes</t>
  </si>
  <si>
    <t>No</t>
  </si>
  <si>
    <t>Turbine &amp; Transport Cost</t>
  </si>
  <si>
    <t>Insurance, Bonds &amp; Permit Costs</t>
  </si>
  <si>
    <t>Engineering Cost</t>
  </si>
  <si>
    <t>Met Mast and Power Performance Engineering Cost</t>
  </si>
  <si>
    <t>Access Road &amp; Site Improvement Cost</t>
  </si>
  <si>
    <t>Site Compound and Security Cost</t>
  </si>
  <si>
    <t>Control - O&amp;M Building Cost</t>
  </si>
  <si>
    <t>Turbine Foundation Cost</t>
  </si>
  <si>
    <t>Turbine Erection Cost</t>
  </si>
  <si>
    <t>MV Electrical Material Cost</t>
  </si>
  <si>
    <t>MV Electrical Instalation Cost</t>
  </si>
  <si>
    <t>Collector Substation Cost</t>
  </si>
  <si>
    <t>Transmission Line &amp; Interconnection Cost</t>
  </si>
  <si>
    <t>Mark-up &amp; Contingency Costs</t>
  </si>
  <si>
    <t>Project Total Budgeted Cost</t>
  </si>
  <si>
    <t>Number of Turbines</t>
  </si>
  <si>
    <t>Each</t>
  </si>
  <si>
    <t>Building Permits</t>
  </si>
  <si>
    <t>Highway Permits</t>
  </si>
  <si>
    <t>Typical highway permit for public road use</t>
  </si>
  <si>
    <t>Builder's Risk</t>
  </si>
  <si>
    <t>Typical insurance cost, rate per $1000 contract value</t>
  </si>
  <si>
    <t>K$ total</t>
  </si>
  <si>
    <t>Fnd Cost</t>
  </si>
  <si>
    <t>Insurance &amp; Permits</t>
  </si>
  <si>
    <t>Typical Site Compound Sizing</t>
  </si>
  <si>
    <t>Note: Insurance premium totals based on total project $ amount divided by $1000 times rate shown.</t>
  </si>
  <si>
    <t>2% of total foundation cost</t>
  </si>
  <si>
    <t>Inputs</t>
  </si>
  <si>
    <t>Turbine</t>
  </si>
  <si>
    <t>Idealized Turbine power</t>
  </si>
  <si>
    <t>Machine Rating (kWs)</t>
  </si>
  <si>
    <t>Rotor Diameter (meters)</t>
  </si>
  <si>
    <t>Hub Height (meters)</t>
  </si>
  <si>
    <t>Wind Farm Size (MW)</t>
  </si>
  <si>
    <t>BOS Options</t>
  </si>
  <si>
    <t>Interconnect Voltage (kV)</t>
  </si>
  <si>
    <t>Terrain Options</t>
  </si>
  <si>
    <t>Layout Options</t>
  </si>
  <si>
    <t>Yes/No</t>
  </si>
  <si>
    <t>Distance to Interconnect (mi)</t>
  </si>
  <si>
    <t>Flat to Rolling</t>
  </si>
  <si>
    <t>Simple</t>
  </si>
  <si>
    <t>Site Terrain</t>
  </si>
  <si>
    <t>Ridge Top</t>
  </si>
  <si>
    <t>Complex</t>
  </si>
  <si>
    <t>Turbine Layout</t>
  </si>
  <si>
    <t>Mountainous</t>
  </si>
  <si>
    <t>Construction Time (months)</t>
  </si>
  <si>
    <t>Advanced User BOS Inputs</t>
  </si>
  <si>
    <t>Delivery Assist Required (Y/N)</t>
  </si>
  <si>
    <r>
      <t>O&amp;M Building Size (ft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</si>
  <si>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Pad mount Transformer required (Y/N)</t>
  </si>
  <si>
    <t>Wind/Weather delay days</t>
  </si>
  <si>
    <t>Crane breakdowns</t>
  </si>
  <si>
    <t>Access road entrances</t>
  </si>
  <si>
    <t>Performance bond (Y/N)</t>
  </si>
  <si>
    <t>Contingency (%)</t>
  </si>
  <si>
    <t>Warranty management (%)</t>
  </si>
  <si>
    <t>Sales and Use Tax (%)</t>
  </si>
  <si>
    <t>Overhead (%)</t>
  </si>
  <si>
    <t>Profit Margin (%)</t>
  </si>
  <si>
    <t>MV thermal backfill (mi)</t>
  </si>
  <si>
    <t>MV overhead collector (mi)</t>
  </si>
  <si>
    <t>Outputs</t>
  </si>
  <si>
    <t>Roads &amp; Site Improvement $2010</t>
  </si>
  <si>
    <t>PPI Escalator $2010 to Current</t>
  </si>
  <si>
    <t>Cost in Current Year $</t>
  </si>
  <si>
    <t>= Current Year'</t>
  </si>
  <si>
    <t>Engineering $2010</t>
  </si>
  <si>
    <t>1MW-30MW = 3 acres, no batch plant</t>
  </si>
  <si>
    <t>30MW-100MW = 5 acres, + batch plant</t>
  </si>
  <si>
    <t>100MW-300MW = 10 acres, + batch plant</t>
  </si>
  <si>
    <t>Development Fee ($million)</t>
  </si>
  <si>
    <t>Development Cost</t>
  </si>
  <si>
    <t>Trans. Line &amp; Interconnect $2010</t>
  </si>
  <si>
    <t>Met Masts &amp; Power Performance $2010</t>
  </si>
  <si>
    <t>Site Compound &amp; Security $2010</t>
  </si>
  <si>
    <t>Control - O&amp;M Building $2010</t>
  </si>
  <si>
    <t>Collector Substation $2010</t>
  </si>
  <si>
    <t>Markup &amp; Contingency $2010</t>
  </si>
  <si>
    <t>Development $2010</t>
  </si>
  <si>
    <t>Turbine Transportation $2010</t>
  </si>
  <si>
    <t>Turbine Transportation (mi)</t>
  </si>
  <si>
    <t>Project Management</t>
  </si>
  <si>
    <t>Tower Top Mass (Tonnes)</t>
  </si>
  <si>
    <t>Bouyant</t>
  </si>
  <si>
    <t>Soil Condition</t>
  </si>
  <si>
    <t>Soil Options</t>
  </si>
  <si>
    <t>Standard</t>
  </si>
  <si>
    <t>WTG Erection $2010</t>
  </si>
  <si>
    <t>WTG Foundation $2010</t>
  </si>
  <si>
    <t>Inputs from Cost Model Outputs</t>
  </si>
  <si>
    <t>Turbine Capital Cost ($/kW)</t>
  </si>
  <si>
    <t>Rock trenching required (% of collector cable length)</t>
  </si>
  <si>
    <t>New Switchyard Required (Y/N)</t>
  </si>
  <si>
    <t>200MW+ = 2 batch plants</t>
  </si>
  <si>
    <t>O&amp;M Building Sizing</t>
  </si>
  <si>
    <t>1MW-200MW = 3000 ft^2</t>
  </si>
  <si>
    <t>200MW-500MW = 5000 ft^2</t>
  </si>
  <si>
    <t>Quantity of Permanent Meteorological Towers for Testing</t>
  </si>
  <si>
    <t>Quantity of Temporary Meteorological Towers for Testing</t>
  </si>
  <si>
    <t>Permanent</t>
  </si>
  <si>
    <t>Temporary</t>
  </si>
  <si>
    <t>500MW-800MW = 7000 ft^2</t>
  </si>
  <si>
    <t>800MW-1000MW = 9000 ft^2</t>
  </si>
  <si>
    <t>1000MW+ = 12000 ft^2</t>
  </si>
  <si>
    <t>Calculated Values - Entering in Data will Override Program</t>
  </si>
  <si>
    <t>Construction Management Time $2010</t>
  </si>
  <si>
    <t>Calculated Value</t>
  </si>
  <si>
    <t>Physical Cost per Turbine</t>
  </si>
  <si>
    <t>O&amp;M Building Size (ft2) -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</si>
</sst>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_(&quot;$&quot;* #,##0_);_(&quot;$&quot;* \(#,##0\);_(&quot;$&quot;* &quot;-&quot;??_);_(@_)"/>
    <numFmt numFmtId="168" formatCode="&quot;$&quot;#,##0.0"/>
    <numFmt numFmtId="169" formatCode="_(* #,##0.0_);_(* \(#,##0.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7" fillId="0" borderId="0"/>
    <xf numFmtId="43" fontId="2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0" fillId="0" borderId="0"/>
    <xf numFmtId="0" fontId="7" fillId="0" borderId="0"/>
    <xf numFmtId="9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  <xf numFmtId="0" fontId="7" fillId="0" borderId="0"/>
    <xf numFmtId="9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173">
    <xf numFmtId="0" fontId="0" fillId="0" borderId="0" xfId="0"/>
    <xf numFmtId="0" fontId="2" fillId="0" borderId="1" xfId="1" applyFont="1" applyFill="1" applyBorder="1"/>
    <xf numFmtId="0" fontId="2" fillId="0" borderId="2" xfId="1" applyFont="1" applyFill="1" applyBorder="1" applyAlignment="1">
      <alignment horizontal="left"/>
    </xf>
    <xf numFmtId="0" fontId="2" fillId="0" borderId="2" xfId="1" applyFont="1" applyFill="1" applyBorder="1"/>
    <xf numFmtId="3" fontId="4" fillId="0" borderId="2" xfId="2" applyNumberFormat="1" applyFont="1" applyFill="1" applyBorder="1"/>
    <xf numFmtId="0" fontId="2" fillId="0" borderId="2" xfId="1" quotePrefix="1" applyFont="1" applyFill="1" applyBorder="1"/>
    <xf numFmtId="3" fontId="2" fillId="0" borderId="2" xfId="2" applyNumberFormat="1" applyFill="1" applyBorder="1"/>
    <xf numFmtId="3" fontId="2" fillId="0" borderId="3" xfId="1" applyNumberFormat="1" applyFont="1" applyFill="1" applyBorder="1"/>
    <xf numFmtId="0" fontId="2" fillId="0" borderId="4" xfId="2" applyNumberFormat="1" applyFill="1" applyBorder="1"/>
    <xf numFmtId="0" fontId="2" fillId="0" borderId="4" xfId="1" applyFont="1" applyBorder="1"/>
    <xf numFmtId="0" fontId="0" fillId="0" borderId="3" xfId="1" applyFont="1" applyBorder="1"/>
    <xf numFmtId="0" fontId="0" fillId="0" borderId="5" xfId="1" applyFont="1" applyBorder="1"/>
    <xf numFmtId="0" fontId="5" fillId="0" borderId="5" xfId="1" applyFont="1" applyBorder="1"/>
    <xf numFmtId="0" fontId="5" fillId="0" borderId="0" xfId="1" applyFont="1"/>
    <xf numFmtId="0" fontId="0" fillId="0" borderId="7" xfId="1" applyFont="1" applyBorder="1"/>
    <xf numFmtId="164" fontId="2" fillId="0" borderId="6" xfId="2" applyNumberFormat="1" applyFill="1" applyBorder="1"/>
    <xf numFmtId="1" fontId="2" fillId="0" borderId="6" xfId="1" applyNumberFormat="1" applyFont="1" applyBorder="1"/>
    <xf numFmtId="0" fontId="2" fillId="0" borderId="7" xfId="1" applyFont="1" applyFill="1" applyBorder="1"/>
    <xf numFmtId="0" fontId="2" fillId="0" borderId="7" xfId="1" applyFont="1" applyFill="1" applyBorder="1" applyAlignment="1">
      <alignment horizontal="left"/>
    </xf>
    <xf numFmtId="164" fontId="2" fillId="0" borderId="7" xfId="2" applyNumberFormat="1" applyFill="1" applyBorder="1"/>
    <xf numFmtId="3" fontId="2" fillId="0" borderId="7" xfId="1" applyNumberFormat="1" applyFont="1" applyFill="1" applyBorder="1"/>
    <xf numFmtId="43" fontId="2" fillId="0" borderId="7" xfId="2" applyFill="1" applyBorder="1"/>
    <xf numFmtId="1" fontId="2" fillId="0" borderId="7" xfId="1" applyNumberFormat="1" applyFont="1" applyBorder="1"/>
    <xf numFmtId="0" fontId="0" fillId="0" borderId="7" xfId="1" applyFont="1" applyFill="1" applyBorder="1"/>
    <xf numFmtId="0" fontId="0" fillId="0" borderId="0" xfId="1" applyFont="1" applyBorder="1"/>
    <xf numFmtId="0" fontId="0" fillId="0" borderId="0" xfId="1" applyFont="1" applyFill="1" applyBorder="1"/>
    <xf numFmtId="165" fontId="0" fillId="0" borderId="0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/>
    <xf numFmtId="1" fontId="0" fillId="0" borderId="7" xfId="1" applyNumberFormat="1" applyFont="1" applyBorder="1"/>
    <xf numFmtId="1" fontId="0" fillId="0" borderId="0" xfId="1" applyNumberFormat="1" applyFont="1" applyBorder="1"/>
    <xf numFmtId="0" fontId="2" fillId="0" borderId="0" xfId="1" applyFont="1" applyFill="1" applyBorder="1" applyAlignment="1">
      <alignment horizontal="left"/>
    </xf>
    <xf numFmtId="0" fontId="2" fillId="0" borderId="10" xfId="1" applyFont="1" applyFill="1" applyBorder="1" applyAlignment="1">
      <alignment horizontal="left"/>
    </xf>
    <xf numFmtId="10" fontId="2" fillId="0" borderId="7" xfId="2" applyNumberFormat="1" applyFill="1" applyBorder="1"/>
    <xf numFmtId="0" fontId="6" fillId="0" borderId="0" xfId="1" applyFont="1"/>
    <xf numFmtId="0" fontId="2" fillId="0" borderId="0" xfId="1" applyFont="1" applyFill="1" applyBorder="1"/>
    <xf numFmtId="164" fontId="2" fillId="0" borderId="0" xfId="2" applyNumberFormat="1" applyFill="1" applyBorder="1"/>
    <xf numFmtId="3" fontId="2" fillId="0" borderId="0" xfId="1" applyNumberFormat="1" applyFont="1" applyFill="1" applyBorder="1"/>
    <xf numFmtId="43" fontId="2" fillId="0" borderId="0" xfId="2" applyFill="1" applyBorder="1"/>
    <xf numFmtId="1" fontId="2" fillId="0" borderId="0" xfId="1" applyNumberFormat="1" applyFont="1" applyBorder="1"/>
    <xf numFmtId="0" fontId="7" fillId="0" borderId="0" xfId="0" applyFont="1"/>
    <xf numFmtId="0" fontId="7" fillId="0" borderId="0" xfId="1" applyFont="1" applyBorder="1"/>
    <xf numFmtId="3" fontId="0" fillId="0" borderId="0" xfId="0" applyNumberFormat="1"/>
    <xf numFmtId="0" fontId="8" fillId="0" borderId="0" xfId="0" applyFont="1"/>
    <xf numFmtId="0" fontId="5" fillId="0" borderId="0" xfId="0" applyFont="1"/>
    <xf numFmtId="0" fontId="0" fillId="0" borderId="0" xfId="0" applyBorder="1"/>
    <xf numFmtId="0" fontId="0" fillId="0" borderId="0" xfId="0"/>
    <xf numFmtId="166" fontId="0" fillId="0" borderId="0" xfId="0" applyNumberFormat="1"/>
    <xf numFmtId="0" fontId="5" fillId="3" borderId="17" xfId="6" applyFont="1" applyFill="1" applyBorder="1" applyAlignment="1" applyProtection="1">
      <alignment horizontal="centerContinuous" vertical="center" wrapText="1"/>
    </xf>
    <xf numFmtId="0" fontId="5" fillId="3" borderId="28" xfId="6" applyFont="1" applyFill="1" applyBorder="1" applyAlignment="1" applyProtection="1">
      <alignment horizontal="left" vertical="center"/>
    </xf>
    <xf numFmtId="0" fontId="5" fillId="3" borderId="18" xfId="6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5" fillId="3" borderId="27" xfId="6" applyFont="1" applyFill="1" applyBorder="1" applyAlignment="1" applyProtection="1">
      <alignment horizontal="centerContinuous" vertical="center"/>
    </xf>
    <xf numFmtId="0" fontId="11" fillId="3" borderId="27" xfId="6" applyFill="1" applyBorder="1" applyAlignment="1" applyProtection="1">
      <alignment horizontal="centerContinuous" vertical="center"/>
    </xf>
    <xf numFmtId="0" fontId="11" fillId="0" borderId="0" xfId="6" applyAlignment="1">
      <alignment vertical="center"/>
    </xf>
    <xf numFmtId="0" fontId="5" fillId="3" borderId="18" xfId="6" applyFont="1" applyFill="1" applyBorder="1" applyAlignment="1" applyProtection="1">
      <alignment vertical="center"/>
    </xf>
    <xf numFmtId="0" fontId="0" fillId="5" borderId="19" xfId="1" applyFont="1" applyFill="1" applyBorder="1" applyAlignment="1">
      <alignment horizontal="right" vertical="center"/>
    </xf>
    <xf numFmtId="0" fontId="5" fillId="6" borderId="29" xfId="6" applyFont="1" applyFill="1" applyBorder="1" applyAlignment="1">
      <alignment vertical="center"/>
    </xf>
    <xf numFmtId="1" fontId="0" fillId="5" borderId="19" xfId="1" applyNumberFormat="1" applyFont="1" applyFill="1" applyBorder="1" applyAlignment="1">
      <alignment horizontal="right" vertical="center"/>
    </xf>
    <xf numFmtId="1" fontId="0" fillId="6" borderId="30" xfId="1" applyNumberFormat="1" applyFont="1" applyFill="1" applyBorder="1" applyAlignment="1">
      <alignment horizontal="center" vertical="center"/>
    </xf>
    <xf numFmtId="0" fontId="7" fillId="0" borderId="0" xfId="6" applyFont="1" applyFill="1" applyBorder="1" applyAlignment="1" applyProtection="1">
      <alignment vertical="center"/>
    </xf>
    <xf numFmtId="0" fontId="5" fillId="0" borderId="26" xfId="6" applyFont="1" applyBorder="1" applyAlignment="1">
      <alignment vertical="center"/>
    </xf>
    <xf numFmtId="0" fontId="5" fillId="0" borderId="8" xfId="6" applyFont="1" applyBorder="1" applyAlignment="1">
      <alignment vertical="center"/>
    </xf>
    <xf numFmtId="0" fontId="5" fillId="0" borderId="23" xfId="6" applyFont="1" applyBorder="1" applyAlignment="1">
      <alignment vertical="center"/>
    </xf>
    <xf numFmtId="0" fontId="7" fillId="5" borderId="19" xfId="6" applyFont="1" applyFill="1" applyBorder="1" applyAlignment="1" applyProtection="1">
      <alignment horizontal="right" vertical="center"/>
    </xf>
    <xf numFmtId="0" fontId="10" fillId="0" borderId="0" xfId="3" applyAlignment="1">
      <alignment vertical="center"/>
    </xf>
    <xf numFmtId="0" fontId="7" fillId="0" borderId="18" xfId="6" applyFont="1" applyBorder="1" applyAlignment="1">
      <alignment vertical="center"/>
    </xf>
    <xf numFmtId="0" fontId="7" fillId="0" borderId="15" xfId="6" applyFont="1" applyBorder="1" applyAlignment="1">
      <alignment vertical="center"/>
    </xf>
    <xf numFmtId="0" fontId="7" fillId="0" borderId="19" xfId="6" applyFont="1" applyBorder="1" applyAlignment="1">
      <alignment vertical="center"/>
    </xf>
    <xf numFmtId="0" fontId="7" fillId="5" borderId="19" xfId="6" applyFont="1" applyFill="1" applyBorder="1" applyAlignment="1" applyProtection="1">
      <alignment horizontal="right" vertical="center"/>
      <protection locked="0"/>
    </xf>
    <xf numFmtId="0" fontId="7" fillId="0" borderId="18" xfId="6" applyFont="1" applyFill="1" applyBorder="1" applyAlignment="1" applyProtection="1">
      <alignment vertical="center"/>
    </xf>
    <xf numFmtId="0" fontId="7" fillId="0" borderId="15" xfId="6" applyFont="1" applyFill="1" applyBorder="1" applyAlignment="1" applyProtection="1">
      <alignment vertical="center"/>
    </xf>
    <xf numFmtId="0" fontId="5" fillId="3" borderId="20" xfId="6" applyFont="1" applyFill="1" applyBorder="1" applyAlignment="1" applyProtection="1">
      <alignment vertical="center"/>
    </xf>
    <xf numFmtId="0" fontId="7" fillId="0" borderId="20" xfId="6" applyFont="1" applyFill="1" applyBorder="1" applyAlignment="1" applyProtection="1">
      <alignment vertical="center"/>
    </xf>
    <xf numFmtId="0" fontId="7" fillId="0" borderId="21" xfId="6" applyFont="1" applyFill="1" applyBorder="1" applyAlignment="1" applyProtection="1">
      <alignment vertical="center"/>
    </xf>
    <xf numFmtId="0" fontId="11" fillId="0" borderId="22" xfId="6" applyBorder="1" applyAlignment="1">
      <alignment vertical="center"/>
    </xf>
    <xf numFmtId="0" fontId="7" fillId="5" borderId="19" xfId="1" applyFont="1" applyFill="1" applyBorder="1" applyAlignment="1">
      <alignment horizontal="right" vertical="center"/>
    </xf>
    <xf numFmtId="9" fontId="7" fillId="5" borderId="19" xfId="5" applyFont="1" applyFill="1" applyBorder="1" applyAlignment="1" applyProtection="1">
      <alignment horizontal="right" vertical="center"/>
    </xf>
    <xf numFmtId="0" fontId="7" fillId="5" borderId="19" xfId="0" applyFont="1" applyFill="1" applyBorder="1" applyAlignment="1">
      <alignment horizontal="right" vertical="center"/>
    </xf>
    <xf numFmtId="9" fontId="0" fillId="5" borderId="19" xfId="0" applyNumberFormat="1" applyFill="1" applyBorder="1" applyAlignment="1">
      <alignment horizontal="right" vertical="center"/>
    </xf>
    <xf numFmtId="10" fontId="0" fillId="5" borderId="19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11" fillId="0" borderId="0" xfId="6" applyFill="1" applyAlignment="1">
      <alignment vertical="center"/>
    </xf>
    <xf numFmtId="0" fontId="5" fillId="0" borderId="0" xfId="6" applyFont="1" applyFill="1" applyBorder="1" applyAlignment="1">
      <alignment vertical="center"/>
    </xf>
    <xf numFmtId="1" fontId="0" fillId="0" borderId="0" xfId="1" applyNumberFormat="1" applyFont="1" applyFill="1" applyBorder="1" applyAlignment="1">
      <alignment horizontal="center" vertical="center"/>
    </xf>
    <xf numFmtId="0" fontId="10" fillId="0" borderId="0" xfId="3" applyFill="1" applyAlignment="1">
      <alignment vertical="center"/>
    </xf>
    <xf numFmtId="0" fontId="10" fillId="0" borderId="0" xfId="9"/>
    <xf numFmtId="0" fontId="7" fillId="0" borderId="0" xfId="21" applyFont="1" applyFill="1" applyBorder="1" applyProtection="1"/>
    <xf numFmtId="0" fontId="7" fillId="0" borderId="0" xfId="10"/>
    <xf numFmtId="0" fontId="5" fillId="0" borderId="0" xfId="10" applyFont="1"/>
    <xf numFmtId="0" fontId="12" fillId="0" borderId="0" xfId="10" applyFont="1"/>
    <xf numFmtId="165" fontId="7" fillId="2" borderId="16" xfId="10" applyNumberFormat="1" applyFill="1" applyBorder="1"/>
    <xf numFmtId="0" fontId="5" fillId="2" borderId="16" xfId="10" applyFont="1" applyFill="1" applyBorder="1" applyAlignment="1">
      <alignment horizontal="center"/>
    </xf>
    <xf numFmtId="0" fontId="7" fillId="4" borderId="16" xfId="10" applyFill="1" applyBorder="1"/>
    <xf numFmtId="0" fontId="5" fillId="2" borderId="16" xfId="10" applyFont="1" applyFill="1" applyBorder="1"/>
    <xf numFmtId="0" fontId="5" fillId="4" borderId="16" xfId="10" applyFont="1" applyFill="1" applyBorder="1"/>
    <xf numFmtId="0" fontId="5" fillId="0" borderId="0" xfId="10" quotePrefix="1" applyFont="1"/>
    <xf numFmtId="165" fontId="7" fillId="2" borderId="16" xfId="8" applyNumberFormat="1" applyFill="1" applyBorder="1"/>
    <xf numFmtId="0" fontId="10" fillId="0" borderId="0" xfId="9" applyBorder="1"/>
    <xf numFmtId="168" fontId="0" fillId="0" borderId="0" xfId="0" applyNumberFormat="1"/>
    <xf numFmtId="167" fontId="0" fillId="0" borderId="0" xfId="22" applyNumberFormat="1" applyFont="1"/>
    <xf numFmtId="167" fontId="0" fillId="0" borderId="0" xfId="0" applyNumberFormat="1"/>
    <xf numFmtId="0" fontId="10" fillId="0" borderId="0" xfId="9" applyBorder="1" applyAlignment="1">
      <alignment horizontal="right"/>
    </xf>
    <xf numFmtId="0" fontId="0" fillId="5" borderId="22" xfId="0" applyNumberFormat="1" applyFill="1" applyBorder="1" applyAlignment="1">
      <alignment horizontal="right" vertical="center"/>
    </xf>
    <xf numFmtId="9" fontId="0" fillId="0" borderId="0" xfId="23" applyFont="1"/>
    <xf numFmtId="0" fontId="2" fillId="0" borderId="0" xfId="0" applyFont="1"/>
    <xf numFmtId="0" fontId="0" fillId="5" borderId="19" xfId="22" applyNumberFormat="1" applyFont="1" applyFill="1" applyBorder="1" applyAlignment="1">
      <alignment horizontal="right" vertical="center"/>
    </xf>
    <xf numFmtId="0" fontId="7" fillId="0" borderId="31" xfId="21" applyFont="1" applyBorder="1"/>
    <xf numFmtId="0" fontId="7" fillId="0" borderId="32" xfId="21" applyFont="1" applyFill="1" applyBorder="1" applyProtection="1"/>
    <xf numFmtId="0" fontId="7" fillId="0" borderId="33" xfId="21" applyFont="1" applyFill="1" applyBorder="1" applyProtection="1"/>
    <xf numFmtId="0" fontId="7" fillId="0" borderId="24" xfId="21" applyFont="1" applyBorder="1"/>
    <xf numFmtId="0" fontId="7" fillId="0" borderId="25" xfId="21" applyFont="1" applyFill="1" applyBorder="1" applyProtection="1"/>
    <xf numFmtId="167" fontId="10" fillId="0" borderId="28" xfId="4" applyNumberFormat="1" applyFont="1" applyBorder="1"/>
    <xf numFmtId="167" fontId="10" fillId="0" borderId="17" xfId="4" applyNumberFormat="1" applyFont="1" applyBorder="1"/>
    <xf numFmtId="167" fontId="10" fillId="0" borderId="18" xfId="4" applyNumberFormat="1" applyFont="1" applyBorder="1"/>
    <xf numFmtId="167" fontId="10" fillId="0" borderId="19" xfId="4" applyNumberFormat="1" applyFont="1" applyBorder="1"/>
    <xf numFmtId="167" fontId="10" fillId="0" borderId="20" xfId="4" applyNumberFormat="1" applyFont="1" applyBorder="1"/>
    <xf numFmtId="167" fontId="10" fillId="0" borderId="22" xfId="4" applyNumberFormat="1" applyFont="1" applyBorder="1"/>
    <xf numFmtId="0" fontId="5" fillId="3" borderId="35" xfId="6" applyFont="1" applyFill="1" applyBorder="1" applyAlignment="1" applyProtection="1">
      <alignment vertical="center"/>
    </xf>
    <xf numFmtId="0" fontId="5" fillId="0" borderId="13" xfId="6" applyFont="1" applyBorder="1" applyAlignment="1">
      <alignment vertical="center"/>
    </xf>
    <xf numFmtId="0" fontId="7" fillId="0" borderId="37" xfId="6" applyFont="1" applyFill="1" applyBorder="1" applyAlignment="1" applyProtection="1">
      <alignment vertical="center"/>
    </xf>
    <xf numFmtId="0" fontId="2" fillId="0" borderId="14" xfId="6" applyFont="1" applyBorder="1" applyAlignment="1">
      <alignment vertical="center"/>
    </xf>
    <xf numFmtId="0" fontId="2" fillId="0" borderId="14" xfId="6" applyFont="1" applyFill="1" applyBorder="1" applyAlignment="1" applyProtection="1">
      <alignment vertical="center"/>
    </xf>
    <xf numFmtId="0" fontId="5" fillId="3" borderId="38" xfId="6" applyFont="1" applyFill="1" applyBorder="1" applyAlignment="1" applyProtection="1">
      <alignment horizontal="left" vertical="center"/>
    </xf>
    <xf numFmtId="0" fontId="2" fillId="3" borderId="39" xfId="6" applyFont="1" applyFill="1" applyBorder="1" applyAlignment="1" applyProtection="1">
      <alignment horizontal="right" vertical="center" wrapText="1"/>
    </xf>
    <xf numFmtId="165" fontId="11" fillId="3" borderId="29" xfId="22" applyNumberFormat="1" applyFont="1" applyFill="1" applyBorder="1" applyAlignment="1" applyProtection="1">
      <alignment horizontal="right" vertical="center"/>
    </xf>
    <xf numFmtId="168" fontId="0" fillId="0" borderId="0" xfId="22" applyNumberFormat="1" applyFont="1"/>
    <xf numFmtId="165" fontId="0" fillId="0" borderId="0" xfId="22" applyNumberFormat="1" applyFont="1"/>
    <xf numFmtId="0" fontId="0" fillId="0" borderId="0" xfId="0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2" fillId="0" borderId="0" xfId="6" applyFont="1" applyAlignment="1">
      <alignment vertical="center"/>
    </xf>
    <xf numFmtId="0" fontId="1" fillId="0" borderId="0" xfId="3" applyFont="1" applyAlignment="1">
      <alignment vertical="center"/>
    </xf>
    <xf numFmtId="0" fontId="5" fillId="3" borderId="16" xfId="6" applyFont="1" applyFill="1" applyBorder="1" applyAlignment="1" applyProtection="1">
      <alignment horizontal="centerContinuous" vertical="center"/>
    </xf>
    <xf numFmtId="0" fontId="11" fillId="3" borderId="16" xfId="6" applyFill="1" applyBorder="1" applyAlignment="1" applyProtection="1">
      <alignment horizontal="centerContinuous" vertical="center"/>
    </xf>
    <xf numFmtId="0" fontId="7" fillId="5" borderId="22" xfId="6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>
      <alignment vertic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16" xfId="0" applyFont="1" applyBorder="1" applyAlignment="1">
      <alignment horizontal="center"/>
    </xf>
    <xf numFmtId="166" fontId="7" fillId="2" borderId="16" xfId="10" applyNumberFormat="1" applyFill="1" applyBorder="1"/>
    <xf numFmtId="1" fontId="17" fillId="0" borderId="11" xfId="0" applyNumberFormat="1" applyFont="1" applyBorder="1" applyAlignment="1">
      <alignment horizontal="center"/>
    </xf>
    <xf numFmtId="0" fontId="0" fillId="7" borderId="0" xfId="0" applyFill="1"/>
    <xf numFmtId="165" fontId="0" fillId="7" borderId="0" xfId="1" applyNumberFormat="1" applyFont="1" applyFill="1"/>
    <xf numFmtId="168" fontId="0" fillId="7" borderId="0" xfId="0" applyNumberFormat="1" applyFill="1"/>
    <xf numFmtId="44" fontId="0" fillId="0" borderId="0" xfId="22" applyFont="1"/>
    <xf numFmtId="0" fontId="2" fillId="7" borderId="0" xfId="0" applyFont="1" applyFill="1"/>
    <xf numFmtId="0" fontId="11" fillId="0" borderId="0" xfId="6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6" applyFont="1" applyFill="1" applyBorder="1" applyAlignment="1" applyProtection="1">
      <alignment vertical="center"/>
    </xf>
    <xf numFmtId="0" fontId="7" fillId="0" borderId="0" xfId="6" applyFont="1" applyFill="1" applyBorder="1" applyAlignment="1" applyProtection="1">
      <alignment horizontal="right" vertical="center"/>
      <protection locked="0"/>
    </xf>
    <xf numFmtId="0" fontId="7" fillId="4" borderId="0" xfId="10" applyFill="1" applyBorder="1"/>
    <xf numFmtId="0" fontId="5" fillId="4" borderId="0" xfId="10" applyFont="1" applyFill="1" applyBorder="1"/>
    <xf numFmtId="169" fontId="7" fillId="2" borderId="16" xfId="2" applyNumberFormat="1" applyFont="1" applyFill="1" applyBorder="1"/>
    <xf numFmtId="0" fontId="5" fillId="3" borderId="28" xfId="6" applyFont="1" applyFill="1" applyBorder="1" applyAlignment="1" applyProtection="1">
      <alignment vertical="center"/>
    </xf>
    <xf numFmtId="0" fontId="0" fillId="5" borderId="9" xfId="1" applyFont="1" applyFill="1" applyBorder="1" applyAlignment="1">
      <alignment horizontal="right" vertical="center"/>
    </xf>
    <xf numFmtId="0" fontId="7" fillId="5" borderId="14" xfId="1" applyFont="1" applyFill="1" applyBorder="1" applyAlignment="1">
      <alignment horizontal="right" vertical="center"/>
    </xf>
    <xf numFmtId="1" fontId="7" fillId="5" borderId="14" xfId="1" applyNumberFormat="1" applyFont="1" applyFill="1" applyBorder="1" applyAlignment="1">
      <alignment horizontal="right" vertical="center"/>
    </xf>
    <xf numFmtId="1" fontId="7" fillId="5" borderId="37" xfId="1" applyNumberFormat="1" applyFont="1" applyFill="1" applyBorder="1" applyAlignment="1">
      <alignment horizontal="right" vertical="center"/>
    </xf>
    <xf numFmtId="0" fontId="7" fillId="5" borderId="40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right" vertical="center"/>
    </xf>
    <xf numFmtId="0" fontId="7" fillId="5" borderId="37" xfId="0" applyFont="1" applyFill="1" applyBorder="1" applyAlignment="1">
      <alignment horizontal="right" vertical="center"/>
    </xf>
    <xf numFmtId="1" fontId="0" fillId="6" borderId="27" xfId="1" applyNumberFormat="1" applyFont="1" applyFill="1" applyBorder="1" applyAlignment="1">
      <alignment horizontal="center" vertical="center"/>
    </xf>
    <xf numFmtId="1" fontId="0" fillId="6" borderId="3" xfId="1" applyNumberFormat="1" applyFont="1" applyFill="1" applyBorder="1" applyAlignment="1">
      <alignment horizontal="center" vertical="center"/>
    </xf>
    <xf numFmtId="0" fontId="5" fillId="6" borderId="34" xfId="6" applyFont="1" applyFill="1" applyBorder="1" applyAlignment="1">
      <alignment horizontal="center" vertical="center"/>
    </xf>
    <xf numFmtId="1" fontId="0" fillId="6" borderId="32" xfId="1" applyNumberFormat="1" applyFont="1" applyFill="1" applyBorder="1" applyAlignment="1">
      <alignment horizontal="center" vertical="center"/>
    </xf>
    <xf numFmtId="1" fontId="2" fillId="6" borderId="3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indent="2"/>
    </xf>
    <xf numFmtId="164" fontId="7" fillId="2" borderId="16" xfId="2" applyNumberFormat="1" applyFont="1" applyFill="1" applyBorder="1"/>
    <xf numFmtId="0" fontId="14" fillId="0" borderId="24" xfId="6" applyFont="1" applyBorder="1" applyAlignment="1">
      <alignment horizontal="center" vertical="center"/>
    </xf>
    <xf numFmtId="0" fontId="14" fillId="0" borderId="12" xfId="6" applyFont="1" applyBorder="1" applyAlignment="1">
      <alignment horizontal="center" vertical="center"/>
    </xf>
    <xf numFmtId="0" fontId="14" fillId="0" borderId="36" xfId="6" applyFont="1" applyBorder="1" applyAlignment="1">
      <alignment horizontal="center" vertical="center"/>
    </xf>
    <xf numFmtId="0" fontId="14" fillId="0" borderId="25" xfId="6" applyFont="1" applyBorder="1" applyAlignment="1">
      <alignment horizontal="center" vertical="center"/>
    </xf>
  </cellXfs>
  <cellStyles count="26">
    <cellStyle name="_x0013_" xfId="1"/>
    <cellStyle name="_x0013_ 2" xfId="25"/>
    <cellStyle name="Comma" xfId="2" builtinId="3"/>
    <cellStyle name="Comma 2" xfId="12"/>
    <cellStyle name="Comma 2 2" xfId="17"/>
    <cellStyle name="Comma 3" xfId="7"/>
    <cellStyle name="Currency" xfId="22" builtinId="4"/>
    <cellStyle name="Currency 2" xfId="13"/>
    <cellStyle name="Currency 2 2" xfId="18"/>
    <cellStyle name="Currency 3" xfId="8"/>
    <cellStyle name="Currency 4" xfId="4"/>
    <cellStyle name="Normal" xfId="0" builtinId="0"/>
    <cellStyle name="Normal 2" xfId="9"/>
    <cellStyle name="Normal 2 2" xfId="14"/>
    <cellStyle name="Normal 2 3" xfId="19"/>
    <cellStyle name="Normal 3" xfId="10"/>
    <cellStyle name="Normal 3 2" xfId="15"/>
    <cellStyle name="Normal 4" xfId="6"/>
    <cellStyle name="Normal 4 2" xfId="21"/>
    <cellStyle name="Normal 5" xfId="3"/>
    <cellStyle name="Normal 6" xfId="24"/>
    <cellStyle name="Percent" xfId="23" builtinId="5"/>
    <cellStyle name="Percent 2" xfId="16"/>
    <cellStyle name="Percent 2 2" xfId="20"/>
    <cellStyle name="Percent 3" xfId="11"/>
    <cellStyle name="Percent 4" xfId="5"/>
  </cellStyles>
  <dxfs count="0"/>
  <tableStyles count="0" defaultTableStyle="TableStyleMedium9" defaultPivotStyle="PivotStyleLight16"/>
  <colors>
    <mruColors>
      <color rgb="FF008000"/>
      <color rgb="FF00FF00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45"/>
  <sheetViews>
    <sheetView topLeftCell="A16" workbookViewId="0">
      <selection activeCell="C22" sqref="C22"/>
    </sheetView>
  </sheetViews>
  <sheetFormatPr defaultColWidth="9.109375" defaultRowHeight="15.75" customHeight="1" x14ac:dyDescent="0.25"/>
  <cols>
    <col min="1" max="1" width="4.88671875" style="51" customWidth="1"/>
    <col min="2" max="2" width="51.6640625" style="51" customWidth="1"/>
    <col min="3" max="3" width="23.6640625" style="51" bestFit="1" customWidth="1"/>
    <col min="4" max="4" width="21" style="51" bestFit="1" customWidth="1"/>
    <col min="5" max="5" width="4" style="81" customWidth="1"/>
    <col min="6" max="6" width="15.109375" style="51" bestFit="1" customWidth="1"/>
    <col min="7" max="7" width="14.6640625" style="51" bestFit="1" customWidth="1"/>
    <col min="8" max="8" width="14.6640625" style="51" customWidth="1"/>
    <col min="9" max="9" width="7.109375" style="51" bestFit="1" customWidth="1"/>
    <col min="10" max="16384" width="9.109375" style="51"/>
  </cols>
  <sheetData>
    <row r="1" spans="1:9" ht="15.75" customHeight="1" thickBot="1" x14ac:dyDescent="0.3"/>
    <row r="2" spans="1:9" ht="15.75" customHeight="1" thickBot="1" x14ac:dyDescent="0.3">
      <c r="B2" s="52" t="s">
        <v>74</v>
      </c>
      <c r="C2" s="53"/>
      <c r="D2" s="54"/>
      <c r="E2" s="82"/>
      <c r="F2" s="54"/>
      <c r="G2" s="54"/>
      <c r="H2" s="54"/>
      <c r="I2" s="54"/>
    </row>
    <row r="3" spans="1:9" ht="15.75" customHeight="1" x14ac:dyDescent="0.25">
      <c r="B3" s="49" t="s">
        <v>75</v>
      </c>
      <c r="C3" s="48" t="s">
        <v>76</v>
      </c>
      <c r="D3" s="54"/>
      <c r="E3" s="82"/>
      <c r="F3" s="54"/>
      <c r="G3" s="54"/>
      <c r="H3" s="54"/>
      <c r="I3" s="54"/>
    </row>
    <row r="4" spans="1:9" ht="15.75" customHeight="1" x14ac:dyDescent="0.25">
      <c r="A4" s="136"/>
      <c r="B4" s="55" t="s">
        <v>77</v>
      </c>
      <c r="C4" s="56">
        <v>2000</v>
      </c>
      <c r="D4" s="54"/>
      <c r="E4" s="82"/>
      <c r="F4" s="54"/>
      <c r="G4" s="54"/>
      <c r="H4" s="54"/>
      <c r="I4" s="54"/>
    </row>
    <row r="5" spans="1:9" ht="15.75" customHeight="1" thickBot="1" x14ac:dyDescent="0.3">
      <c r="A5" s="136"/>
      <c r="B5" s="55" t="s">
        <v>78</v>
      </c>
      <c r="C5" s="56">
        <v>110</v>
      </c>
      <c r="D5" s="54"/>
      <c r="E5" s="82"/>
      <c r="F5" s="54"/>
      <c r="G5" s="54"/>
      <c r="H5" s="54"/>
      <c r="I5" s="54"/>
    </row>
    <row r="6" spans="1:9" ht="15.75" customHeight="1" x14ac:dyDescent="0.25">
      <c r="A6" s="136"/>
      <c r="B6" s="55" t="s">
        <v>79</v>
      </c>
      <c r="C6" s="56">
        <v>100</v>
      </c>
      <c r="D6" s="57" t="s">
        <v>80</v>
      </c>
      <c r="E6" s="83"/>
      <c r="F6" s="54"/>
      <c r="G6" s="54"/>
      <c r="H6" s="54"/>
      <c r="I6" s="54"/>
    </row>
    <row r="7" spans="1:9" ht="15.75" customHeight="1" thickBot="1" x14ac:dyDescent="0.3">
      <c r="A7" s="136"/>
      <c r="B7" s="55" t="s">
        <v>61</v>
      </c>
      <c r="C7" s="58">
        <v>100</v>
      </c>
      <c r="D7" s="59">
        <f>C7*C4/1000</f>
        <v>200</v>
      </c>
      <c r="E7" s="84"/>
      <c r="F7" s="60"/>
      <c r="G7" s="60"/>
      <c r="H7" s="60"/>
      <c r="I7" s="54"/>
    </row>
    <row r="8" spans="1:9" ht="15.75" customHeight="1" thickBot="1" x14ac:dyDescent="0.3">
      <c r="A8" s="136"/>
      <c r="B8" s="50" t="s">
        <v>82</v>
      </c>
      <c r="C8" s="56">
        <v>137</v>
      </c>
      <c r="F8" s="169" t="s">
        <v>81</v>
      </c>
      <c r="G8" s="170"/>
      <c r="H8" s="171"/>
      <c r="I8" s="172"/>
    </row>
    <row r="9" spans="1:9" ht="15.75" customHeight="1" x14ac:dyDescent="0.25">
      <c r="A9" s="136"/>
      <c r="B9" s="55" t="s">
        <v>86</v>
      </c>
      <c r="C9" s="56">
        <v>5</v>
      </c>
      <c r="D9" s="54"/>
      <c r="E9" s="82"/>
      <c r="F9" s="61" t="s">
        <v>83</v>
      </c>
      <c r="G9" s="62" t="s">
        <v>84</v>
      </c>
      <c r="H9" s="119" t="s">
        <v>134</v>
      </c>
      <c r="I9" s="63" t="s">
        <v>85</v>
      </c>
    </row>
    <row r="10" spans="1:9" ht="15.75" customHeight="1" x14ac:dyDescent="0.25">
      <c r="A10" s="136"/>
      <c r="B10" s="55" t="s">
        <v>89</v>
      </c>
      <c r="C10" s="64" t="s">
        <v>87</v>
      </c>
      <c r="D10" s="65"/>
      <c r="E10" s="85"/>
      <c r="F10" s="66" t="s">
        <v>87</v>
      </c>
      <c r="G10" s="67" t="s">
        <v>88</v>
      </c>
      <c r="H10" s="121" t="s">
        <v>135</v>
      </c>
      <c r="I10" s="68" t="s">
        <v>29</v>
      </c>
    </row>
    <row r="11" spans="1:9" ht="15.75" customHeight="1" x14ac:dyDescent="0.25">
      <c r="A11" s="136"/>
      <c r="B11" s="55" t="s">
        <v>92</v>
      </c>
      <c r="C11" s="69" t="s">
        <v>91</v>
      </c>
      <c r="D11" s="54"/>
      <c r="E11" s="82"/>
      <c r="F11" s="70" t="s">
        <v>90</v>
      </c>
      <c r="G11" s="71" t="s">
        <v>91</v>
      </c>
      <c r="H11" s="122" t="s">
        <v>132</v>
      </c>
      <c r="I11" s="68" t="s">
        <v>45</v>
      </c>
    </row>
    <row r="12" spans="1:9" ht="15.75" customHeight="1" thickBot="1" x14ac:dyDescent="0.3">
      <c r="A12" s="136"/>
      <c r="B12" s="72" t="s">
        <v>133</v>
      </c>
      <c r="C12" s="135" t="s">
        <v>135</v>
      </c>
      <c r="D12" s="54"/>
      <c r="E12" s="82"/>
      <c r="F12" s="73" t="s">
        <v>93</v>
      </c>
      <c r="G12" s="74"/>
      <c r="H12" s="120"/>
      <c r="I12" s="75"/>
    </row>
    <row r="13" spans="1:9" ht="15.75" customHeight="1" thickBot="1" x14ac:dyDescent="0.3">
      <c r="A13" s="148"/>
      <c r="B13" s="149"/>
      <c r="C13" s="150"/>
      <c r="D13" s="82"/>
      <c r="E13" s="82"/>
      <c r="F13" s="60"/>
      <c r="G13" s="60"/>
      <c r="H13" s="60"/>
      <c r="I13" s="147"/>
    </row>
    <row r="14" spans="1:9" ht="15.75" customHeight="1" thickBot="1" x14ac:dyDescent="0.3">
      <c r="A14" s="148"/>
      <c r="B14" s="133" t="s">
        <v>153</v>
      </c>
      <c r="C14" s="134"/>
      <c r="D14" s="164" t="s">
        <v>155</v>
      </c>
      <c r="E14" s="82"/>
      <c r="F14" s="60"/>
      <c r="G14" s="60"/>
      <c r="H14" s="60"/>
      <c r="I14" s="147"/>
    </row>
    <row r="15" spans="1:9" ht="15.75" customHeight="1" x14ac:dyDescent="0.25">
      <c r="A15" s="148"/>
      <c r="B15" s="118" t="s">
        <v>94</v>
      </c>
      <c r="C15" s="155">
        <v>19</v>
      </c>
      <c r="D15" s="162">
        <f>'Construction Management'!C4</f>
        <v>13</v>
      </c>
      <c r="E15" s="82"/>
      <c r="F15" s="60"/>
      <c r="G15" s="60"/>
      <c r="H15" s="60"/>
      <c r="I15" s="147"/>
    </row>
    <row r="16" spans="1:9" ht="15.75" customHeight="1" x14ac:dyDescent="0.25">
      <c r="A16" s="148"/>
      <c r="B16" s="55" t="s">
        <v>97</v>
      </c>
      <c r="C16" s="156">
        <v>5000</v>
      </c>
      <c r="D16" s="165">
        <f>'Control - O&amp;M Bldg'!C8</f>
        <v>5000</v>
      </c>
      <c r="E16" s="82"/>
      <c r="F16" s="60"/>
      <c r="G16" s="60"/>
      <c r="H16" s="60"/>
      <c r="I16" s="147"/>
    </row>
    <row r="17" spans="1:9" ht="15.75" customHeight="1" x14ac:dyDescent="0.25">
      <c r="A17" s="148"/>
      <c r="B17" s="55" t="s">
        <v>147</v>
      </c>
      <c r="C17" s="157">
        <v>3</v>
      </c>
      <c r="D17" s="165">
        <f>'Met Masts &amp; Power Performance'!F10</f>
        <v>3</v>
      </c>
      <c r="E17" s="82"/>
      <c r="F17" s="60"/>
      <c r="G17" s="60"/>
      <c r="H17" s="60"/>
      <c r="I17" s="147"/>
    </row>
    <row r="18" spans="1:9" ht="15.75" customHeight="1" thickBot="1" x14ac:dyDescent="0.3">
      <c r="A18" s="148"/>
      <c r="B18" s="72" t="s">
        <v>146</v>
      </c>
      <c r="C18" s="158">
        <v>2</v>
      </c>
      <c r="D18" s="165">
        <f>'Met Masts &amp; Power Performance'!C10</f>
        <v>2</v>
      </c>
      <c r="E18" s="82"/>
      <c r="F18" s="60"/>
      <c r="G18" s="60"/>
      <c r="H18" s="60"/>
      <c r="I18" s="147"/>
    </row>
    <row r="19" spans="1:9" ht="15.75" customHeight="1" x14ac:dyDescent="0.25">
      <c r="A19" s="148"/>
      <c r="B19" s="154" t="s">
        <v>99</v>
      </c>
      <c r="C19" s="159">
        <v>20</v>
      </c>
      <c r="D19" s="165">
        <f>ROUND(C7/5,0)</f>
        <v>20</v>
      </c>
      <c r="E19" s="82"/>
      <c r="F19" s="60"/>
      <c r="G19" s="60"/>
      <c r="H19" s="60"/>
      <c r="I19" s="147"/>
    </row>
    <row r="20" spans="1:9" ht="15.75" customHeight="1" x14ac:dyDescent="0.25">
      <c r="A20" s="148"/>
      <c r="B20" s="55" t="s">
        <v>100</v>
      </c>
      <c r="C20" s="160">
        <v>8</v>
      </c>
      <c r="D20" s="166">
        <f>ROUND(C7/20,0)</f>
        <v>5</v>
      </c>
      <c r="E20" s="82"/>
      <c r="F20" s="60"/>
      <c r="G20" s="60"/>
      <c r="H20" s="60"/>
      <c r="I20" s="147"/>
    </row>
    <row r="21" spans="1:9" ht="15.75" customHeight="1" thickBot="1" x14ac:dyDescent="0.3">
      <c r="A21" s="148"/>
      <c r="B21" s="72" t="s">
        <v>101</v>
      </c>
      <c r="C21" s="161">
        <v>8</v>
      </c>
      <c r="D21" s="163">
        <f>IF(ROUND(C7/20,0)=0,1,ROUND(C7/20,0))</f>
        <v>5</v>
      </c>
      <c r="E21" s="82"/>
      <c r="F21" s="60"/>
      <c r="G21" s="60"/>
      <c r="H21" s="60"/>
      <c r="I21" s="147"/>
    </row>
    <row r="22" spans="1:9" ht="15.75" customHeight="1" thickBot="1" x14ac:dyDescent="0.3">
      <c r="A22" s="136"/>
      <c r="D22" s="54"/>
      <c r="E22" s="82"/>
    </row>
    <row r="23" spans="1:9" ht="15.75" customHeight="1" thickBot="1" x14ac:dyDescent="0.3">
      <c r="A23" s="136"/>
      <c r="B23" s="52" t="s">
        <v>138</v>
      </c>
      <c r="C23" s="53"/>
      <c r="D23" s="54"/>
      <c r="E23" s="82"/>
    </row>
    <row r="24" spans="1:9" ht="15.75" customHeight="1" x14ac:dyDescent="0.25">
      <c r="A24" s="136"/>
      <c r="B24" s="49" t="s">
        <v>139</v>
      </c>
      <c r="C24" s="125">
        <v>0</v>
      </c>
      <c r="D24" s="54"/>
      <c r="E24" s="82"/>
    </row>
    <row r="25" spans="1:9" ht="15.75" customHeight="1" thickBot="1" x14ac:dyDescent="0.3">
      <c r="A25" s="136"/>
      <c r="B25" s="123" t="s">
        <v>131</v>
      </c>
      <c r="C25" s="124">
        <v>88</v>
      </c>
      <c r="D25" s="54"/>
      <c r="E25" s="82"/>
    </row>
    <row r="26" spans="1:9" ht="15.75" customHeight="1" thickBot="1" x14ac:dyDescent="0.3">
      <c r="A26" s="136"/>
      <c r="D26" s="54"/>
      <c r="E26" s="82"/>
    </row>
    <row r="27" spans="1:9" ht="15.75" customHeight="1" thickBot="1" x14ac:dyDescent="0.3">
      <c r="A27" s="136"/>
      <c r="B27" s="133" t="s">
        <v>95</v>
      </c>
      <c r="C27" s="134"/>
      <c r="D27" s="54"/>
      <c r="E27" s="82"/>
      <c r="F27" s="65"/>
      <c r="G27" s="65"/>
      <c r="H27" s="65"/>
      <c r="I27" s="65"/>
    </row>
    <row r="28" spans="1:9" ht="15.75" customHeight="1" x14ac:dyDescent="0.25">
      <c r="A28" s="136"/>
      <c r="B28" s="55" t="s">
        <v>96</v>
      </c>
      <c r="C28" s="76" t="s">
        <v>45</v>
      </c>
      <c r="D28" s="131"/>
      <c r="E28" s="82"/>
      <c r="F28" s="65"/>
      <c r="G28" s="65"/>
      <c r="H28" s="65"/>
      <c r="I28" s="65"/>
    </row>
    <row r="29" spans="1:9" ht="15.75" customHeight="1" x14ac:dyDescent="0.25">
      <c r="A29" s="136"/>
      <c r="B29" s="55" t="s">
        <v>98</v>
      </c>
      <c r="C29" s="64" t="s">
        <v>29</v>
      </c>
      <c r="D29" s="131"/>
      <c r="E29" s="82"/>
      <c r="F29" s="60"/>
      <c r="G29" s="60"/>
      <c r="H29" s="60"/>
      <c r="I29" s="54"/>
    </row>
    <row r="30" spans="1:9" ht="15.75" customHeight="1" x14ac:dyDescent="0.25">
      <c r="A30" s="136"/>
      <c r="B30" s="55" t="s">
        <v>141</v>
      </c>
      <c r="C30" s="64" t="s">
        <v>29</v>
      </c>
      <c r="D30" s="131"/>
      <c r="E30" s="82"/>
      <c r="F30" s="60"/>
      <c r="G30" s="60"/>
      <c r="H30" s="60"/>
      <c r="I30" s="54"/>
    </row>
    <row r="31" spans="1:9" ht="15.75" customHeight="1" x14ac:dyDescent="0.25">
      <c r="A31" s="136"/>
      <c r="B31" s="55" t="s">
        <v>140</v>
      </c>
      <c r="C31" s="77">
        <v>0.1</v>
      </c>
      <c r="D31" s="132"/>
      <c r="E31" s="85"/>
      <c r="F31" s="65"/>
      <c r="G31" s="65"/>
      <c r="H31" s="65"/>
      <c r="I31" s="65"/>
    </row>
    <row r="32" spans="1:9" ht="15.75" customHeight="1" x14ac:dyDescent="0.25">
      <c r="A32" s="136"/>
      <c r="B32" s="55" t="s">
        <v>108</v>
      </c>
      <c r="C32" s="78">
        <v>0</v>
      </c>
      <c r="D32" s="54"/>
      <c r="E32" s="82"/>
      <c r="F32" s="54"/>
      <c r="G32" s="54"/>
      <c r="H32" s="54"/>
      <c r="I32" s="54"/>
    </row>
    <row r="33" spans="1:9" ht="15.75" customHeight="1" x14ac:dyDescent="0.25">
      <c r="A33" s="136"/>
      <c r="B33" s="55" t="s">
        <v>109</v>
      </c>
      <c r="C33" s="78">
        <v>0</v>
      </c>
      <c r="D33" s="54"/>
      <c r="E33" s="82"/>
      <c r="F33" s="54"/>
      <c r="G33" s="54"/>
      <c r="H33" s="54"/>
      <c r="I33" s="54"/>
    </row>
    <row r="34" spans="1:9" ht="15.75" customHeight="1" x14ac:dyDescent="0.25">
      <c r="A34" s="136"/>
      <c r="B34" s="55" t="s">
        <v>102</v>
      </c>
      <c r="C34" s="64" t="s">
        <v>45</v>
      </c>
      <c r="D34" s="54"/>
      <c r="E34" s="82"/>
      <c r="F34" s="54"/>
      <c r="G34" s="54"/>
      <c r="H34" s="54"/>
      <c r="I34" s="54"/>
    </row>
    <row r="35" spans="1:9" ht="15.75" customHeight="1" x14ac:dyDescent="0.25">
      <c r="A35" s="136"/>
      <c r="B35" s="55" t="s">
        <v>103</v>
      </c>
      <c r="C35" s="79">
        <v>0.03</v>
      </c>
      <c r="D35" s="54"/>
      <c r="E35" s="82"/>
      <c r="F35" s="54"/>
      <c r="G35" s="54"/>
      <c r="H35" s="54"/>
      <c r="I35" s="54"/>
    </row>
    <row r="36" spans="1:9" ht="15.75" customHeight="1" x14ac:dyDescent="0.25">
      <c r="A36" s="136"/>
      <c r="B36" s="55" t="s">
        <v>104</v>
      </c>
      <c r="C36" s="80">
        <v>2.0000000000000001E-4</v>
      </c>
      <c r="D36" s="54"/>
      <c r="E36" s="82"/>
      <c r="F36" s="54"/>
      <c r="G36" s="54"/>
      <c r="H36" s="54"/>
      <c r="I36" s="54"/>
    </row>
    <row r="37" spans="1:9" ht="15.75" customHeight="1" x14ac:dyDescent="0.25">
      <c r="A37" s="136"/>
      <c r="B37" s="55" t="s">
        <v>105</v>
      </c>
      <c r="C37" s="79">
        <v>0</v>
      </c>
      <c r="D37" s="54"/>
      <c r="E37" s="82"/>
      <c r="F37" s="54"/>
      <c r="G37" s="54"/>
      <c r="H37" s="54"/>
      <c r="I37" s="54"/>
    </row>
    <row r="38" spans="1:9" ht="15.75" customHeight="1" x14ac:dyDescent="0.25">
      <c r="A38" s="136"/>
      <c r="B38" s="55" t="s">
        <v>106</v>
      </c>
      <c r="C38" s="79">
        <v>0.05</v>
      </c>
      <c r="D38" s="54"/>
      <c r="E38" s="82"/>
      <c r="F38" s="54"/>
      <c r="G38" s="54"/>
      <c r="H38" s="54"/>
      <c r="I38" s="54"/>
    </row>
    <row r="39" spans="1:9" ht="15.75" customHeight="1" x14ac:dyDescent="0.25">
      <c r="A39" s="136"/>
      <c r="B39" s="55" t="s">
        <v>107</v>
      </c>
      <c r="C39" s="79">
        <v>0.05</v>
      </c>
      <c r="D39" s="54"/>
      <c r="E39" s="82"/>
      <c r="F39" s="54"/>
      <c r="G39" s="54"/>
      <c r="H39" s="54"/>
      <c r="I39" s="54"/>
    </row>
    <row r="40" spans="1:9" ht="15.75" customHeight="1" x14ac:dyDescent="0.25">
      <c r="A40" s="136"/>
      <c r="B40" s="55" t="s">
        <v>119</v>
      </c>
      <c r="C40" s="106">
        <v>5</v>
      </c>
      <c r="D40" s="54"/>
      <c r="E40" s="82"/>
      <c r="F40" s="54"/>
      <c r="G40" s="54"/>
      <c r="H40" s="54"/>
      <c r="I40" s="54"/>
    </row>
    <row r="41" spans="1:9" ht="15.75" customHeight="1" thickBot="1" x14ac:dyDescent="0.3">
      <c r="A41" s="136"/>
      <c r="B41" s="72" t="s">
        <v>129</v>
      </c>
      <c r="C41" s="103">
        <v>0</v>
      </c>
      <c r="E41" s="82"/>
      <c r="F41" s="54"/>
      <c r="G41" s="54"/>
      <c r="H41" s="54"/>
      <c r="I41" s="54"/>
    </row>
    <row r="42" spans="1:9" ht="15.75" customHeight="1" x14ac:dyDescent="0.25">
      <c r="A42" s="136"/>
    </row>
    <row r="43" spans="1:9" ht="15.75" customHeight="1" x14ac:dyDescent="0.25">
      <c r="A43" s="136"/>
    </row>
    <row r="44" spans="1:9" ht="15.75" customHeight="1" x14ac:dyDescent="0.25">
      <c r="A44" s="136"/>
    </row>
    <row r="45" spans="1:9" ht="15.75" customHeight="1" x14ac:dyDescent="0.25">
      <c r="A45" s="136"/>
    </row>
  </sheetData>
  <mergeCells count="1">
    <mergeCell ref="F8:I8"/>
  </mergeCells>
  <phoneticPr fontId="3" type="noConversion"/>
  <dataValidations count="6">
    <dataValidation type="list" allowBlank="1" showInputMessage="1" showErrorMessage="1" sqref="C28:C30 C34">
      <formula1>$I$10:$I$11</formula1>
    </dataValidation>
    <dataValidation type="whole" operator="greaterThan" allowBlank="1" showInputMessage="1" showErrorMessage="1" sqref="C7">
      <formula1>0</formula1>
    </dataValidation>
    <dataValidation type="whole" operator="greaterThanOrEqual" allowBlank="1" showInputMessage="1" showErrorMessage="1" sqref="C20:C21">
      <formula1>0</formula1>
    </dataValidation>
    <dataValidation type="list" allowBlank="1" showInputMessage="1" showErrorMessage="1" sqref="C10">
      <formula1>$F$10:$F$12</formula1>
    </dataValidation>
    <dataValidation type="list" allowBlank="1" showInputMessage="1" showErrorMessage="1" sqref="C11">
      <formula1>$G$10:$G$11</formula1>
    </dataValidation>
    <dataValidation type="list" allowBlank="1" showInputMessage="1" showErrorMessage="1" sqref="C12:C13">
      <formula1>$H$10:$H$11</formula1>
    </dataValidation>
  </dataValidations>
  <pageMargins left="0.25" right="0.25" top="0.75" bottom="0.75" header="0.3" footer="0.3"/>
  <pageSetup scale="87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AB16"/>
  <sheetViews>
    <sheetView zoomScaleNormal="100" workbookViewId="0">
      <selection activeCell="F22" sqref="F22"/>
    </sheetView>
  </sheetViews>
  <sheetFormatPr defaultRowHeight="13.2" x14ac:dyDescent="0.25"/>
  <cols>
    <col min="1" max="1" width="35.44140625" customWidth="1"/>
    <col min="2" max="2" width="58.44140625" customWidth="1"/>
    <col min="3" max="6" width="10.88671875" customWidth="1"/>
    <col min="7" max="8" width="11.88671875" customWidth="1"/>
    <col min="9" max="10" width="10.88671875" customWidth="1"/>
    <col min="11" max="12" width="11.88671875" customWidth="1"/>
    <col min="13" max="14" width="10.88671875" customWidth="1"/>
    <col min="15" max="16" width="11.88671875" customWidth="1"/>
    <col min="17" max="18" width="10.88671875" customWidth="1"/>
    <col min="19" max="20" width="11.88671875" customWidth="1"/>
    <col min="21" max="22" width="10.88671875" customWidth="1"/>
    <col min="23" max="24" width="11.88671875" customWidth="1"/>
    <col min="25" max="26" width="10.88671875" customWidth="1"/>
    <col min="27" max="28" width="11.88671875" bestFit="1" customWidth="1"/>
  </cols>
  <sheetData>
    <row r="1" spans="2:28" s="46" customFormat="1" x14ac:dyDescent="0.25"/>
    <row r="2" spans="2:28" s="46" customFormat="1" ht="13.8" thickBot="1" x14ac:dyDescent="0.3"/>
    <row r="3" spans="2:28" s="46" customFormat="1" ht="13.8" thickBot="1" x14ac:dyDescent="0.3">
      <c r="B3" s="89"/>
      <c r="C3" s="92" t="s">
        <v>110</v>
      </c>
      <c r="D3" s="88"/>
      <c r="E3" s="88"/>
    </row>
    <row r="4" spans="2:28" s="46" customFormat="1" ht="13.8" thickBot="1" x14ac:dyDescent="0.3">
      <c r="B4" s="94" t="s">
        <v>136</v>
      </c>
      <c r="C4" s="97">
        <f>(37*'Estimate Input'!C4+27000*'Estimate Input'!C7^-0.42145+('Estimate Input'!C6-80)/20*10000)*'Estimate Input'!C7+IF('Estimate Input'!C28="Yes",60000*'Estimate Input'!C7,0)+20000*'Estimate Input'!C19+35000*'Estimate Input'!C20+181*'Estimate Input'!C7+1834</f>
        <v>9487605.4013682809</v>
      </c>
      <c r="D4" s="93">
        <v>1</v>
      </c>
      <c r="E4" s="90" t="s">
        <v>112</v>
      </c>
    </row>
    <row r="5" spans="2:28" s="46" customFormat="1" ht="13.8" thickBot="1" x14ac:dyDescent="0.3">
      <c r="B5" s="94" t="s">
        <v>113</v>
      </c>
      <c r="C5" s="91">
        <f>C4*D4</f>
        <v>9487605.4013682809</v>
      </c>
      <c r="D5" s="95">
        <v>2010</v>
      </c>
      <c r="E5" s="96" t="s">
        <v>114</v>
      </c>
    </row>
    <row r="6" spans="2:28" s="46" customFormat="1" x14ac:dyDescent="0.25"/>
    <row r="7" spans="2:28" s="46" customFormat="1" x14ac:dyDescent="0.25"/>
    <row r="8" spans="2:28" x14ac:dyDescent="0.25"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2:28" x14ac:dyDescent="0.25"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2:28" x14ac:dyDescent="0.25"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spans="2:28" x14ac:dyDescent="0.25"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spans="2:28" x14ac:dyDescent="0.25"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2:28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2:28" x14ac:dyDescent="0.25"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2:28" x14ac:dyDescent="0.25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2:28" x14ac:dyDescent="0.25"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O16"/>
  <sheetViews>
    <sheetView workbookViewId="0">
      <selection activeCell="C20" sqref="C20"/>
    </sheetView>
  </sheetViews>
  <sheetFormatPr defaultRowHeight="13.2" x14ac:dyDescent="0.25"/>
  <cols>
    <col min="1" max="1" width="26.5546875" customWidth="1"/>
    <col min="2" max="2" width="44.33203125" customWidth="1"/>
    <col min="3" max="3" width="12.88671875" customWidth="1"/>
    <col min="4" max="4" width="12.5546875" bestFit="1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customWidth="1"/>
    <col min="10" max="10" width="36.5546875" customWidth="1"/>
    <col min="11" max="11" width="10.33203125" bestFit="1" customWidth="1"/>
    <col min="12" max="12" width="9.88671875" customWidth="1"/>
    <col min="13" max="14" width="11.33203125" customWidth="1"/>
    <col min="15" max="15" width="11.33203125" style="46" customWidth="1"/>
    <col min="16" max="18" width="11.33203125" customWidth="1"/>
    <col min="19" max="19" width="4" customWidth="1"/>
    <col min="20" max="20" width="14.664062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111</v>
      </c>
      <c r="C4" s="97">
        <f>INDEX(C9:D11,MATCH('Estimate Input'!C10,B9:B11,0),MATCH('Estimate Input'!C11,C8:D8,0))</f>
        <v>14675585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14675585</v>
      </c>
      <c r="D5" s="95">
        <v>2010</v>
      </c>
      <c r="E5" s="96" t="s">
        <v>114</v>
      </c>
    </row>
    <row r="6" spans="2:5" s="46" customFormat="1" x14ac:dyDescent="0.25"/>
    <row r="7" spans="2:5" s="46" customFormat="1" ht="15" thickBot="1" x14ac:dyDescent="0.35">
      <c r="B7" s="86"/>
      <c r="C7" s="86"/>
      <c r="D7" s="86"/>
      <c r="E7" s="86"/>
    </row>
    <row r="8" spans="2:5" s="46" customFormat="1" ht="15" thickBot="1" x14ac:dyDescent="0.35">
      <c r="B8" s="98"/>
      <c r="C8" s="110" t="s">
        <v>88</v>
      </c>
      <c r="D8" s="111" t="s">
        <v>91</v>
      </c>
      <c r="E8" s="98"/>
    </row>
    <row r="9" spans="2:5" s="46" customFormat="1" ht="14.4" x14ac:dyDescent="0.3">
      <c r="B9" s="107" t="s">
        <v>87</v>
      </c>
      <c r="C9" s="112">
        <f>'Estimate Input'!C7*IF('Estimate Input'!C29="Yes",66733.4,27088.4)+INT('Estimate Input'!D7/25)*35375+INT('Estimate Input'!D7/100)*50000+'Estimate Input'!C5*'Estimate Input'!C7*545.4+'Estimate Input'!C32*5+41945</f>
        <v>13097685</v>
      </c>
      <c r="D9" s="113">
        <f>'Estimate Input'!$C$7*IF('Estimate Input'!C29="Yes",67519.4,27874.4)+INT('Estimate Input'!$D$7/25)*35375+INT('Estimate Input'!$D$7/100)*50000+'Estimate Input'!$C$5*'Estimate Input'!$C$7*681.7+'Estimate Input'!$C$32*5+41945</f>
        <v>14675585</v>
      </c>
      <c r="E9" s="98"/>
    </row>
    <row r="10" spans="2:5" s="46" customFormat="1" ht="14.4" x14ac:dyDescent="0.3">
      <c r="B10" s="108" t="s">
        <v>90</v>
      </c>
      <c r="C10" s="114">
        <f>'Estimate Input'!$C$7*IF('Estimate Input'!C29="Yes",67519.4,27874.4)+INT('Estimate Input'!$D$7/25)*35375+INT('Estimate Input'!$D$7/100)*50000+'Estimate Input'!$C$5*'Estimate Input'!$C$7*590.8+'Estimate Input'!$C$32*5+41945</f>
        <v>13675684.999999998</v>
      </c>
      <c r="D10" s="115">
        <f>'Estimate Input'!$C$7*IF('Estimate Input'!C29="Yes",68305.4,28660.4)+INT('Estimate Input'!$D$7/25)*35375+INT('Estimate Input'!$D$7/100)*50000+'Estimate Input'!$C$5*'Estimate Input'!$C$7*727.2+'Estimate Input'!$C$32*5+41945</f>
        <v>15254685</v>
      </c>
      <c r="E10" s="98"/>
    </row>
    <row r="11" spans="2:5" s="46" customFormat="1" ht="15" thickBot="1" x14ac:dyDescent="0.35">
      <c r="B11" s="109" t="s">
        <v>93</v>
      </c>
      <c r="C11" s="116">
        <f>'Estimate Input'!$C$7*IF('Estimate Input'!C29="Yes",68305.4,28660.4)+INT('Estimate Input'!$D$7/25)*35375+INT('Estimate Input'!$D$7/100)*50000+'Estimate Input'!$C$5*'Estimate Input'!$C$7*590.8+'Estimate Input'!$C$32*5+41.945</f>
        <v>13712381.944999998</v>
      </c>
      <c r="D11" s="117">
        <f>'Estimate Input'!$C$7*IF('Estimate Input'!C29="Yes",69484.4,29839.4)+INT('Estimate Input'!$D$7/25)*35375+INT('Estimate Input'!$D$7/100)*50000+'Estimate Input'!$C$5*'Estimate Input'!$C$7*727.2+'Estimate Input'!$C$32*5+41945</f>
        <v>15372585</v>
      </c>
      <c r="E11" s="98"/>
    </row>
    <row r="12" spans="2:5" s="46" customFormat="1" x14ac:dyDescent="0.25"/>
    <row r="13" spans="2:5" x14ac:dyDescent="0.25">
      <c r="D13" s="43"/>
    </row>
    <row r="14" spans="2:5" x14ac:dyDescent="0.25">
      <c r="D14" s="43"/>
    </row>
    <row r="15" spans="2:5" x14ac:dyDescent="0.25">
      <c r="D15" s="43"/>
    </row>
    <row r="16" spans="2:5" x14ac:dyDescent="0.25">
      <c r="D16" s="43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I22"/>
  <sheetViews>
    <sheetView workbookViewId="0">
      <selection activeCell="C20" sqref="C20"/>
    </sheetView>
  </sheetViews>
  <sheetFormatPr defaultRowHeight="13.2" x14ac:dyDescent="0.25"/>
  <cols>
    <col min="1" max="1" width="26.5546875" customWidth="1"/>
    <col min="2" max="2" width="44.33203125" customWidth="1"/>
    <col min="3" max="3" width="12.88671875" customWidth="1"/>
    <col min="4" max="4" width="12.5546875" bestFit="1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hidden="1" customWidth="1"/>
    <col min="10" max="10" width="36.5546875" customWidth="1"/>
    <col min="12" max="12" width="10.44140625" bestFit="1" customWidth="1"/>
    <col min="13" max="15" width="9.44140625" bestFit="1" customWidth="1"/>
    <col min="16" max="16" width="11.33203125" bestFit="1" customWidth="1"/>
    <col min="17" max="17" width="10.33203125" bestFit="1" customWidth="1"/>
    <col min="18" max="18" width="3.44140625" customWidth="1"/>
    <col min="19" max="19" width="14" bestFit="1" customWidth="1"/>
  </cols>
  <sheetData>
    <row r="1" spans="2:8" s="46" customFormat="1" x14ac:dyDescent="0.25"/>
    <row r="2" spans="2:8" s="46" customFormat="1" ht="13.8" thickBot="1" x14ac:dyDescent="0.3"/>
    <row r="3" spans="2:8" s="46" customFormat="1" ht="13.8" thickBot="1" x14ac:dyDescent="0.3">
      <c r="B3" s="89"/>
      <c r="C3" s="92" t="s">
        <v>110</v>
      </c>
      <c r="D3" s="88"/>
      <c r="E3" s="88"/>
    </row>
    <row r="4" spans="2:8" s="46" customFormat="1" ht="13.8" thickBot="1" x14ac:dyDescent="0.3">
      <c r="B4" s="94" t="s">
        <v>111</v>
      </c>
      <c r="C4" s="97">
        <f>INDEX(C9:D11,MATCH('Estimate Input'!C10,B9:B11,0),MATCH('Estimate Input'!C11,C8:D8,0))</f>
        <v>7757730</v>
      </c>
      <c r="D4" s="93">
        <v>1</v>
      </c>
      <c r="E4" s="90" t="s">
        <v>112</v>
      </c>
    </row>
    <row r="5" spans="2:8" s="46" customFormat="1" ht="13.8" thickBot="1" x14ac:dyDescent="0.3">
      <c r="B5" s="94" t="s">
        <v>113</v>
      </c>
      <c r="C5" s="91">
        <f>C4*D4</f>
        <v>7757730</v>
      </c>
      <c r="D5" s="95">
        <v>2010</v>
      </c>
      <c r="E5" s="96" t="s">
        <v>114</v>
      </c>
    </row>
    <row r="6" spans="2:8" s="46" customFormat="1" x14ac:dyDescent="0.25"/>
    <row r="7" spans="2:8" s="46" customFormat="1" ht="15" thickBot="1" x14ac:dyDescent="0.35">
      <c r="B7" s="86"/>
      <c r="C7" s="86"/>
      <c r="D7" s="86"/>
      <c r="E7" s="86"/>
    </row>
    <row r="8" spans="2:8" s="46" customFormat="1" ht="15" thickBot="1" x14ac:dyDescent="0.35">
      <c r="B8" s="98"/>
      <c r="C8" s="110" t="s">
        <v>88</v>
      </c>
      <c r="D8" s="111" t="s">
        <v>91</v>
      </c>
      <c r="E8" s="98"/>
    </row>
    <row r="9" spans="2:8" s="46" customFormat="1" ht="14.4" x14ac:dyDescent="0.3">
      <c r="B9" s="107" t="s">
        <v>87</v>
      </c>
      <c r="C9" s="112">
        <f>INT('Estimate Input'!$D$7/25)*14985+IF('Estimate Input'!$D$7&gt;200,300000,155000)+'Estimate Input'!$C$7*(7059.3+'Estimate Input'!$C$5*(352.4+297*'Estimate Input'!C31))+'Estimate Input'!$C$33*200000+10000</f>
        <v>5193910</v>
      </c>
      <c r="D9" s="113">
        <f>INT('Estimate Input'!$D$7/25)*14985+IF('Estimate Input'!$D$7&gt;200,300000,155000)+'Estimate Input'!$C$7*(7683.5+('Estimate Input'!$C$5*(564.9+446*'Estimate Input'!C31)))+'Estimate Input'!$C$33*200000+10000</f>
        <v>7757730</v>
      </c>
      <c r="E9" s="98"/>
    </row>
    <row r="10" spans="2:8" s="46" customFormat="1" ht="14.4" x14ac:dyDescent="0.3">
      <c r="B10" s="108" t="s">
        <v>90</v>
      </c>
      <c r="C10" s="114">
        <f>INT('Estimate Input'!$D$7/25)*14985+IF('Estimate Input'!$D$7&gt;200,300000,155000)+'Estimate Input'!$C$7*(7683.5+('Estimate Input'!$C$5*(564.3+483*'Estimate Input'!C31)))+'Estimate Input'!$C$33*200000+10000</f>
        <v>7791829.9999999981</v>
      </c>
      <c r="D10" s="115">
        <f>INT('Estimate Input'!$D$7/25)*14985+IF('Estimate Input'!$D$7&gt;200,300000,155000)+'Estimate Input'!$C$7*(8305+('Estimate Input'!$C$5*(866.8+713*'Estimate Input'!C31)))+'Estimate Input'!$C$33*200000+10000</f>
        <v>11434479.999999998</v>
      </c>
      <c r="E10" s="98"/>
    </row>
    <row r="11" spans="2:8" s="46" customFormat="1" ht="15" thickBot="1" x14ac:dyDescent="0.35">
      <c r="B11" s="109" t="s">
        <v>93</v>
      </c>
      <c r="C11" s="116">
        <f>INT('Estimate Input'!$D$7/25)*14985+IF('Estimate Input'!$D$7&gt;200,300000,155000)+'Estimate Input'!$C$7*(8305+('Estimate Input'!$C$5*(682.6+579*'Estimate Input'!C31)))+'Estimate Input'!$C$33*200000+10000</f>
        <v>9260880</v>
      </c>
      <c r="D11" s="117">
        <f>INT('Estimate Input'!$D$7/25)*14985+IF('Estimate Input'!$D$7&gt;200,300000,155000)+'Estimate Input'!$C$7*(9240+('Estimate Input'!$C$5*(972.8+792*'Estimate Input'!C31)))+'Estimate Input'!$C$33*200000+10000</f>
        <v>12780880</v>
      </c>
      <c r="E11" s="98"/>
    </row>
    <row r="12" spans="2:8" s="46" customFormat="1" x14ac:dyDescent="0.25"/>
    <row r="13" spans="2:8" s="46" customFormat="1" x14ac:dyDescent="0.25"/>
    <row r="14" spans="2:8" s="46" customFormat="1" x14ac:dyDescent="0.25"/>
    <row r="15" spans="2:8" x14ac:dyDescent="0.25">
      <c r="G15" s="42"/>
      <c r="H15" s="42"/>
    </row>
    <row r="16" spans="2:8" x14ac:dyDescent="0.25">
      <c r="G16" s="42"/>
      <c r="H16" s="42"/>
    </row>
    <row r="17" spans="7:8" x14ac:dyDescent="0.25">
      <c r="G17" s="42"/>
      <c r="H17" s="42"/>
    </row>
    <row r="18" spans="7:8" x14ac:dyDescent="0.25">
      <c r="G18" s="42"/>
      <c r="H18" s="42"/>
    </row>
    <row r="19" spans="7:8" x14ac:dyDescent="0.25">
      <c r="G19" s="42"/>
      <c r="H19" s="42"/>
    </row>
    <row r="20" spans="7:8" x14ac:dyDescent="0.25">
      <c r="G20" s="42"/>
      <c r="H20" s="42"/>
    </row>
    <row r="21" spans="7:8" x14ac:dyDescent="0.25">
      <c r="G21" s="42"/>
      <c r="H21" s="42"/>
    </row>
    <row r="22" spans="7:8" x14ac:dyDescent="0.25">
      <c r="G22" s="42"/>
      <c r="H22" s="4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7"/>
  <sheetViews>
    <sheetView workbookViewId="0">
      <selection activeCell="K30" sqref="K30"/>
    </sheetView>
  </sheetViews>
  <sheetFormatPr defaultRowHeight="13.2" x14ac:dyDescent="0.25"/>
  <cols>
    <col min="1" max="1" width="2.88671875" customWidth="1"/>
    <col min="2" max="2" width="44.33203125" customWidth="1"/>
    <col min="3" max="3" width="11.109375" bestFit="1" customWidth="1"/>
    <col min="4" max="16" width="10.33203125" customWidth="1"/>
    <col min="17" max="17" width="11.109375" bestFit="1" customWidth="1"/>
    <col min="18" max="30" width="10.109375" bestFit="1" customWidth="1"/>
    <col min="31" max="31" width="11.109375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125</v>
      </c>
      <c r="C4" s="97">
        <f>11652*('Estimate Input'!C8+'Estimate Input'!D7)+11795*('Estimate Input'!D7^0.3549)+1526800</f>
        <v>5530851.4147177804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5530851.4147177804</v>
      </c>
      <c r="D5" s="95">
        <v>2010</v>
      </c>
      <c r="E5" s="96" t="s">
        <v>114</v>
      </c>
    </row>
    <row r="6" spans="2:5" s="46" customFormat="1" x14ac:dyDescent="0.25"/>
    <row r="7" spans="2:5" s="46" customFormat="1" x14ac:dyDescent="0.25"/>
  </sheetData>
  <phoneticPr fontId="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6"/>
  <sheetViews>
    <sheetView workbookViewId="0">
      <selection activeCell="K30" sqref="K30"/>
    </sheetView>
  </sheetViews>
  <sheetFormatPr defaultRowHeight="13.2" x14ac:dyDescent="0.25"/>
  <cols>
    <col min="1" max="1" width="26.5546875" customWidth="1"/>
    <col min="2" max="2" width="44.33203125" customWidth="1"/>
    <col min="3" max="3" width="11.109375" bestFit="1" customWidth="1"/>
    <col min="4" max="4" width="10.6640625" customWidth="1"/>
    <col min="5" max="5" width="11.6640625" customWidth="1"/>
    <col min="6" max="8" width="12.6640625" customWidth="1"/>
    <col min="9" max="9" width="36.5546875" customWidth="1"/>
    <col min="11" max="11" width="13.109375" bestFit="1" customWidth="1"/>
    <col min="19" max="19" width="15.5546875" bestFit="1" customWidth="1"/>
    <col min="20" max="25" width="10.33203125" customWidth="1"/>
    <col min="28" max="28" width="12" bestFit="1" customWidth="1"/>
    <col min="29" max="29" width="11" bestFit="1" customWidth="1"/>
    <col min="30" max="30" width="12.5546875" bestFit="1" customWidth="1"/>
    <col min="31" max="33" width="9.6640625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121</v>
      </c>
      <c r="C4" s="97">
        <f>IF('Estimate Input'!C9=0,0,(1176*'Estimate Input'!C8+218257)*('Estimate Input'!C9^(-0.1063))*'Estimate Input'!C9)+(IF('Estimate Input'!C30="Yes",18115*'Estimate Input'!C8+165944,0))</f>
        <v>4246267.8009927757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4246267.8009927757</v>
      </c>
      <c r="D5" s="95">
        <v>2010</v>
      </c>
      <c r="E5" s="96" t="s">
        <v>114</v>
      </c>
    </row>
    <row r="6" spans="2:5" s="46" customFormat="1" x14ac:dyDescent="0.25"/>
  </sheetData>
  <phoneticPr fontId="3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2:J7"/>
  <sheetViews>
    <sheetView workbookViewId="0">
      <selection activeCell="K30" sqref="K30"/>
    </sheetView>
  </sheetViews>
  <sheetFormatPr defaultRowHeight="13.2" x14ac:dyDescent="0.25"/>
  <cols>
    <col min="1" max="1" width="8.88671875" style="46"/>
    <col min="2" max="2" width="34.88671875" style="46" bestFit="1" customWidth="1"/>
    <col min="3" max="3" width="17.21875" style="46" bestFit="1" customWidth="1"/>
    <col min="4" max="6" width="8.88671875" style="46"/>
    <col min="7" max="7" width="17.21875" style="46" bestFit="1" customWidth="1"/>
    <col min="8" max="10" width="8.88671875" style="46"/>
  </cols>
  <sheetData>
    <row r="2" spans="2:6" ht="13.8" thickBot="1" x14ac:dyDescent="0.3"/>
    <row r="3" spans="2:6" ht="13.8" thickBot="1" x14ac:dyDescent="0.3">
      <c r="B3" s="89"/>
      <c r="C3" s="92" t="s">
        <v>110</v>
      </c>
      <c r="D3" s="88"/>
      <c r="E3" s="88"/>
      <c r="F3" s="88"/>
    </row>
    <row r="4" spans="2:6" ht="13.8" thickBot="1" x14ac:dyDescent="0.3">
      <c r="B4" s="94" t="s">
        <v>154</v>
      </c>
      <c r="C4" s="153">
        <f>ROUND(0.0001*'Estimate Input'!C7^2+0.0963*'Estimate Input'!C7+2.7432,0)</f>
        <v>13</v>
      </c>
      <c r="D4" s="93">
        <v>1</v>
      </c>
      <c r="E4" s="151"/>
      <c r="F4" s="90" t="s">
        <v>112</v>
      </c>
    </row>
    <row r="5" spans="2:6" ht="13.8" thickBot="1" x14ac:dyDescent="0.3">
      <c r="B5" s="94" t="s">
        <v>113</v>
      </c>
      <c r="C5" s="153">
        <f>C4*D4</f>
        <v>13</v>
      </c>
      <c r="D5" s="95">
        <v>2010</v>
      </c>
      <c r="E5" s="152"/>
      <c r="F5" s="96" t="s">
        <v>114</v>
      </c>
    </row>
    <row r="7" spans="2:6" s="46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E5"/>
  <sheetViews>
    <sheetView workbookViewId="0">
      <selection activeCell="B17" sqref="B17"/>
    </sheetView>
  </sheetViews>
  <sheetFormatPr defaultRowHeight="13.2" x14ac:dyDescent="0.25"/>
  <cols>
    <col min="1" max="1" width="3.33203125" customWidth="1"/>
    <col min="2" max="2" width="44.33203125" customWidth="1"/>
    <col min="3" max="3" width="11.109375" bestFit="1" customWidth="1"/>
    <col min="4" max="4" width="10.6640625" customWidth="1"/>
    <col min="5" max="5" width="11.6640625" customWidth="1"/>
  </cols>
  <sheetData>
    <row r="1" spans="1:5" x14ac:dyDescent="0.25">
      <c r="A1" s="46"/>
      <c r="B1" s="46"/>
      <c r="C1" s="46"/>
      <c r="D1" s="46"/>
      <c r="E1" s="46"/>
    </row>
    <row r="2" spans="1:5" ht="13.8" thickBot="1" x14ac:dyDescent="0.3">
      <c r="A2" s="46"/>
      <c r="B2" s="46"/>
      <c r="C2" s="46"/>
      <c r="D2" s="46"/>
      <c r="E2" s="46"/>
    </row>
    <row r="3" spans="1:5" ht="13.8" thickBot="1" x14ac:dyDescent="0.3">
      <c r="A3" s="46"/>
      <c r="B3" s="89"/>
      <c r="C3" s="92" t="s">
        <v>110</v>
      </c>
      <c r="D3" s="88"/>
      <c r="E3" s="88"/>
    </row>
    <row r="4" spans="1:5" ht="13.8" thickBot="1" x14ac:dyDescent="0.3">
      <c r="A4" s="46"/>
      <c r="B4" s="94" t="s">
        <v>121</v>
      </c>
      <c r="C4" s="97">
        <f>IF(('Estimate Input'!C15)&lt;28,(53.333*('Estimate Input'!C15)^2-3442*('Estimate Input'!C15)+209542)*('Estimate Input'!C15+2),('Estimate Input'!C15+2)*155000)</f>
        <v>3431341.4729999998</v>
      </c>
      <c r="D4" s="93">
        <v>1</v>
      </c>
      <c r="E4" s="90" t="s">
        <v>112</v>
      </c>
    </row>
    <row r="5" spans="1:5" ht="13.8" thickBot="1" x14ac:dyDescent="0.3">
      <c r="A5" s="46"/>
      <c r="B5" s="94" t="s">
        <v>113</v>
      </c>
      <c r="C5" s="91">
        <f>C4*D4</f>
        <v>3431341.4729999998</v>
      </c>
      <c r="D5" s="95">
        <v>2010</v>
      </c>
      <c r="E5" s="96" t="s">
        <v>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I11"/>
  <sheetViews>
    <sheetView workbookViewId="0">
      <selection activeCell="D25" sqref="D25"/>
    </sheetView>
  </sheetViews>
  <sheetFormatPr defaultRowHeight="13.2" x14ac:dyDescent="0.25"/>
  <cols>
    <col min="1" max="1" width="2.33203125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1:9" s="46" customFormat="1" x14ac:dyDescent="0.25"/>
    <row r="2" spans="1:9" s="46" customFormat="1" ht="13.8" thickBot="1" x14ac:dyDescent="0.3"/>
    <row r="3" spans="1:9" s="46" customFormat="1" ht="13.8" thickBot="1" x14ac:dyDescent="0.3">
      <c r="B3" s="89"/>
      <c r="C3" s="92" t="s">
        <v>110</v>
      </c>
      <c r="D3" s="88"/>
      <c r="E3" s="88"/>
    </row>
    <row r="4" spans="1:9" s="46" customFormat="1" ht="13.8" thickBot="1" x14ac:dyDescent="0.3">
      <c r="B4" s="94" t="s">
        <v>126</v>
      </c>
      <c r="C4" s="97">
        <f ca="1">SUM('Estimate Input'!C35:C39)*('Estimate Report'!C24-'Estimate Report'!C6)</f>
        <v>11145085.289057152</v>
      </c>
      <c r="D4" s="93">
        <v>1</v>
      </c>
      <c r="E4" s="90" t="s">
        <v>112</v>
      </c>
    </row>
    <row r="5" spans="1:9" s="46" customFormat="1" ht="13.8" thickBot="1" x14ac:dyDescent="0.3">
      <c r="B5" s="94" t="s">
        <v>113</v>
      </c>
      <c r="C5" s="91">
        <f ca="1">C4*D4</f>
        <v>11145085.289057152</v>
      </c>
      <c r="D5" s="95">
        <v>2010</v>
      </c>
      <c r="E5" s="96" t="s">
        <v>114</v>
      </c>
    </row>
    <row r="6" spans="1:9" s="46" customFormat="1" x14ac:dyDescent="0.25"/>
    <row r="7" spans="1:9" s="46" customFormat="1" ht="14.4" x14ac:dyDescent="0.3">
      <c r="B7" s="86"/>
      <c r="C7" s="86"/>
      <c r="D7" s="86"/>
      <c r="E7" s="86"/>
    </row>
    <row r="8" spans="1:9" s="46" customFormat="1" x14ac:dyDescent="0.25"/>
    <row r="9" spans="1:9" s="46" customFormat="1" x14ac:dyDescent="0.25"/>
    <row r="10" spans="1:9" x14ac:dyDescent="0.25">
      <c r="A10" s="24"/>
      <c r="B10" s="41"/>
      <c r="C10" s="24"/>
      <c r="D10" s="30"/>
      <c r="E10" s="24"/>
      <c r="F10" s="26"/>
      <c r="G10" s="24"/>
      <c r="H10" s="24"/>
      <c r="I10" s="24"/>
    </row>
    <row r="11" spans="1:9" x14ac:dyDescent="0.25">
      <c r="A11" s="24"/>
      <c r="B11" s="24"/>
      <c r="C11" s="24"/>
      <c r="D11" s="30"/>
      <c r="E11" s="24"/>
      <c r="F11" s="26"/>
      <c r="G11" s="24"/>
      <c r="H11" s="24"/>
      <c r="I11" s="24"/>
    </row>
  </sheetData>
  <phoneticPr fontId="3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41"/>
  <sheetViews>
    <sheetView workbookViewId="0">
      <selection activeCell="C12" sqref="C12"/>
    </sheetView>
  </sheetViews>
  <sheetFormatPr defaultRowHeight="13.2" x14ac:dyDescent="0.25"/>
  <cols>
    <col min="1" max="1" width="2.44140625" customWidth="1"/>
    <col min="2" max="2" width="34" customWidth="1"/>
    <col min="3" max="3" width="15.33203125" customWidth="1"/>
  </cols>
  <sheetData>
    <row r="1" spans="2:5" s="46" customFormat="1" ht="13.8" thickBot="1" x14ac:dyDescent="0.3"/>
    <row r="2" spans="2:5" s="46" customFormat="1" ht="13.8" thickBot="1" x14ac:dyDescent="0.3">
      <c r="B2" s="89"/>
      <c r="C2" s="92" t="s">
        <v>110</v>
      </c>
      <c r="D2" s="88"/>
      <c r="E2" s="88"/>
    </row>
    <row r="3" spans="2:5" s="46" customFormat="1" ht="13.8" thickBot="1" x14ac:dyDescent="0.3">
      <c r="B3" s="94" t="s">
        <v>127</v>
      </c>
      <c r="C3" s="97">
        <f>'Estimate Input'!C40*1000000</f>
        <v>5000000</v>
      </c>
      <c r="D3" s="93">
        <v>1</v>
      </c>
      <c r="E3" s="90" t="s">
        <v>112</v>
      </c>
    </row>
    <row r="4" spans="2:5" s="46" customFormat="1" ht="13.8" thickBot="1" x14ac:dyDescent="0.3">
      <c r="B4" s="94" t="s">
        <v>113</v>
      </c>
      <c r="C4" s="91">
        <f>C3*D3</f>
        <v>5000000</v>
      </c>
      <c r="D4" s="95">
        <v>2010</v>
      </c>
      <c r="E4" s="96" t="s">
        <v>114</v>
      </c>
    </row>
    <row r="5" spans="2:5" s="46" customFormat="1" x14ac:dyDescent="0.25"/>
    <row r="6" spans="2:5" s="46" customFormat="1" x14ac:dyDescent="0.25"/>
    <row r="7" spans="2:5" x14ac:dyDescent="0.25">
      <c r="B7" s="44" t="s">
        <v>27</v>
      </c>
    </row>
    <row r="8" spans="2:5" x14ac:dyDescent="0.25">
      <c r="B8" s="44" t="s">
        <v>26</v>
      </c>
    </row>
    <row r="9" spans="2:5" x14ac:dyDescent="0.25">
      <c r="B9" s="44"/>
    </row>
    <row r="10" spans="2:5" x14ac:dyDescent="0.25">
      <c r="B10" s="44" t="s">
        <v>0</v>
      </c>
    </row>
    <row r="11" spans="2:5" x14ac:dyDescent="0.25">
      <c r="B11" t="s">
        <v>1</v>
      </c>
    </row>
    <row r="12" spans="2:5" x14ac:dyDescent="0.25">
      <c r="B12" t="s">
        <v>2</v>
      </c>
    </row>
    <row r="13" spans="2:5" x14ac:dyDescent="0.25">
      <c r="B13" t="s">
        <v>3</v>
      </c>
    </row>
    <row r="14" spans="2:5" x14ac:dyDescent="0.25">
      <c r="B14" t="s">
        <v>4</v>
      </c>
    </row>
    <row r="15" spans="2:5" x14ac:dyDescent="0.25">
      <c r="B15" t="s">
        <v>5</v>
      </c>
    </row>
    <row r="16" spans="2:5" x14ac:dyDescent="0.25">
      <c r="B16" t="s">
        <v>6</v>
      </c>
    </row>
    <row r="18" spans="2:2" x14ac:dyDescent="0.25">
      <c r="B18" s="44" t="s">
        <v>7</v>
      </c>
    </row>
    <row r="19" spans="2:2" x14ac:dyDescent="0.25">
      <c r="B19" t="s">
        <v>8</v>
      </c>
    </row>
    <row r="20" spans="2:2" x14ac:dyDescent="0.25">
      <c r="B20" t="s">
        <v>9</v>
      </c>
    </row>
    <row r="21" spans="2:2" x14ac:dyDescent="0.25">
      <c r="B21" t="s">
        <v>10</v>
      </c>
    </row>
    <row r="23" spans="2:2" x14ac:dyDescent="0.25">
      <c r="B23" s="44" t="s">
        <v>11</v>
      </c>
    </row>
    <row r="24" spans="2:2" x14ac:dyDescent="0.25">
      <c r="B24" t="s">
        <v>12</v>
      </c>
    </row>
    <row r="25" spans="2:2" x14ac:dyDescent="0.25">
      <c r="B25" t="s">
        <v>13</v>
      </c>
    </row>
    <row r="26" spans="2:2" x14ac:dyDescent="0.25">
      <c r="B26" t="s">
        <v>14</v>
      </c>
    </row>
    <row r="27" spans="2:2" x14ac:dyDescent="0.25">
      <c r="B27" t="s">
        <v>15</v>
      </c>
    </row>
    <row r="28" spans="2:2" x14ac:dyDescent="0.25">
      <c r="B28" t="s">
        <v>16</v>
      </c>
    </row>
    <row r="30" spans="2:2" x14ac:dyDescent="0.25">
      <c r="B30" s="44" t="s">
        <v>17</v>
      </c>
    </row>
    <row r="31" spans="2:2" x14ac:dyDescent="0.25">
      <c r="B31" t="s">
        <v>18</v>
      </c>
    </row>
    <row r="32" spans="2:2" x14ac:dyDescent="0.25">
      <c r="B32" t="s">
        <v>19</v>
      </c>
    </row>
    <row r="33" spans="2:2" x14ac:dyDescent="0.25">
      <c r="B33" t="s">
        <v>20</v>
      </c>
    </row>
    <row r="34" spans="2:2" x14ac:dyDescent="0.25">
      <c r="B34" t="s">
        <v>21</v>
      </c>
    </row>
    <row r="35" spans="2:2" x14ac:dyDescent="0.25">
      <c r="B35" t="s">
        <v>22</v>
      </c>
    </row>
    <row r="37" spans="2:2" x14ac:dyDescent="0.25">
      <c r="B37" s="44" t="s">
        <v>23</v>
      </c>
    </row>
    <row r="38" spans="2:2" x14ac:dyDescent="0.25">
      <c r="B38" t="s">
        <v>24</v>
      </c>
    </row>
    <row r="39" spans="2:2" x14ac:dyDescent="0.25">
      <c r="B39" t="s">
        <v>25</v>
      </c>
    </row>
    <row r="41" spans="2:2" x14ac:dyDescent="0.25">
      <c r="B41" s="44" t="s">
        <v>28</v>
      </c>
    </row>
  </sheetData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J32"/>
  <sheetViews>
    <sheetView workbookViewId="0">
      <selection activeCell="G8" sqref="G8"/>
    </sheetView>
  </sheetViews>
  <sheetFormatPr defaultRowHeight="13.2" x14ac:dyDescent="0.25"/>
  <cols>
    <col min="1" max="1" width="4.44140625" style="46" customWidth="1"/>
    <col min="2" max="2" width="45" bestFit="1" customWidth="1"/>
    <col min="3" max="3" width="15" customWidth="1"/>
    <col min="4" max="4" width="13.109375" bestFit="1" customWidth="1"/>
    <col min="5" max="5" width="36.5546875" customWidth="1"/>
    <col min="6" max="10" width="12.88671875" customWidth="1"/>
  </cols>
  <sheetData>
    <row r="1" spans="1:10" s="46" customFormat="1" x14ac:dyDescent="0.25"/>
    <row r="2" spans="1:10" s="46" customFormat="1" x14ac:dyDescent="0.25"/>
    <row r="3" spans="1:10" s="46" customFormat="1" x14ac:dyDescent="0.25"/>
    <row r="4" spans="1:10" x14ac:dyDescent="0.25">
      <c r="B4" s="12" t="s">
        <v>60</v>
      </c>
      <c r="C4" s="11" t="s">
        <v>36</v>
      </c>
      <c r="D4" s="11"/>
      <c r="E4" s="11"/>
      <c r="F4" s="46"/>
      <c r="G4" s="46"/>
      <c r="H4" s="46"/>
      <c r="I4" s="46"/>
      <c r="J4" s="46"/>
    </row>
    <row r="5" spans="1:10" ht="13.8" thickBot="1" x14ac:dyDescent="0.3">
      <c r="B5" s="10" t="s">
        <v>42</v>
      </c>
      <c r="C5" s="10" t="s">
        <v>40</v>
      </c>
      <c r="D5" s="10" t="s">
        <v>41</v>
      </c>
      <c r="E5" s="10" t="s">
        <v>44</v>
      </c>
      <c r="F5" s="128"/>
      <c r="G5" s="129"/>
      <c r="H5" s="130"/>
      <c r="I5" s="129"/>
      <c r="J5" s="130"/>
    </row>
    <row r="6" spans="1:10" x14ac:dyDescent="0.25">
      <c r="A6" s="105"/>
      <c r="B6" t="s">
        <v>46</v>
      </c>
      <c r="C6" s="28">
        <f>'Turbine &amp; Transportation'!C5</f>
        <v>0</v>
      </c>
      <c r="D6" s="99">
        <f>C6/('Estimate Input'!$D$7*1000)</f>
        <v>0</v>
      </c>
      <c r="F6" s="99"/>
      <c r="G6" s="100"/>
      <c r="H6" s="99"/>
      <c r="I6" s="100"/>
      <c r="J6" s="99"/>
    </row>
    <row r="7" spans="1:10" x14ac:dyDescent="0.25">
      <c r="A7" s="105"/>
      <c r="B7" t="s">
        <v>47</v>
      </c>
      <c r="C7" s="28">
        <f ca="1">'Insurance, Bonds &amp; Permitting'!H7</f>
        <v>725087.24267787905</v>
      </c>
      <c r="D7" s="99">
        <f ca="1">C7/('Estimate Input'!$D$7*1000)</f>
        <v>3.6254362133893951</v>
      </c>
      <c r="F7" s="99"/>
      <c r="G7" s="100"/>
      <c r="H7" s="99"/>
      <c r="I7" s="100"/>
      <c r="J7" s="99"/>
    </row>
    <row r="8" spans="1:10" x14ac:dyDescent="0.25">
      <c r="A8" s="105"/>
      <c r="B8" t="s">
        <v>48</v>
      </c>
      <c r="C8" s="28">
        <f>Engineering!C5</f>
        <v>1197400</v>
      </c>
      <c r="D8" s="99">
        <f>C8/('Estimate Input'!$D$7*1000)</f>
        <v>5.9870000000000001</v>
      </c>
      <c r="F8" s="99"/>
      <c r="G8" s="100"/>
      <c r="H8" s="99"/>
      <c r="I8" s="100"/>
      <c r="J8" s="99"/>
    </row>
    <row r="9" spans="1:10" x14ac:dyDescent="0.25">
      <c r="A9" s="105"/>
      <c r="B9" t="s">
        <v>49</v>
      </c>
      <c r="C9" s="28">
        <f>'Met Masts &amp; Power Performance'!C5</f>
        <v>1130400</v>
      </c>
      <c r="D9" s="99">
        <f>C9/('Estimate Input'!$D$7*1000)</f>
        <v>5.6520000000000001</v>
      </c>
      <c r="F9" s="99"/>
      <c r="G9" s="100"/>
      <c r="H9" s="99"/>
      <c r="I9" s="100"/>
      <c r="J9" s="99"/>
    </row>
    <row r="10" spans="1:10" s="46" customFormat="1" x14ac:dyDescent="0.25">
      <c r="A10" s="105"/>
      <c r="B10" t="s">
        <v>51</v>
      </c>
      <c r="C10" s="28">
        <f>'Site Compound &amp; Security'!C5</f>
        <v>1110150</v>
      </c>
      <c r="D10" s="99">
        <f>C10/('Estimate Input'!$D$7*1000)</f>
        <v>5.5507499999999999</v>
      </c>
      <c r="F10" s="99"/>
      <c r="G10" s="100"/>
      <c r="H10" s="99"/>
      <c r="I10" s="100"/>
      <c r="J10" s="99"/>
    </row>
    <row r="11" spans="1:10" s="46" customFormat="1" x14ac:dyDescent="0.25">
      <c r="A11" s="105"/>
      <c r="B11" t="s">
        <v>52</v>
      </c>
      <c r="C11" s="28">
        <f>'Control - O&amp;M Bldg'!C5</f>
        <v>801125</v>
      </c>
      <c r="D11" s="99">
        <f>C11/('Estimate Input'!$D$7*1000)</f>
        <v>4.0056250000000002</v>
      </c>
      <c r="F11" s="99"/>
      <c r="G11" s="100"/>
      <c r="H11" s="99"/>
      <c r="I11" s="100"/>
      <c r="J11" s="99"/>
    </row>
    <row r="12" spans="1:10" s="46" customFormat="1" x14ac:dyDescent="0.25">
      <c r="A12" s="105"/>
      <c r="B12" t="s">
        <v>58</v>
      </c>
      <c r="C12" s="28">
        <f>'Trans. Line &amp; Interconnect'!C5</f>
        <v>4246267.8009927757</v>
      </c>
      <c r="D12" s="99">
        <f>C12/('Estimate Input'!$D$7*1000)</f>
        <v>21.231339004963878</v>
      </c>
      <c r="F12" s="99"/>
      <c r="G12" s="100"/>
      <c r="H12" s="99"/>
      <c r="I12" s="100"/>
      <c r="J12" s="99"/>
    </row>
    <row r="13" spans="1:10" s="46" customFormat="1" x14ac:dyDescent="0.25">
      <c r="A13" s="105"/>
      <c r="B13" t="s">
        <v>59</v>
      </c>
      <c r="C13" s="28">
        <f ca="1">'Markup &amp; Contingency'!C5</f>
        <v>11145085.289057152</v>
      </c>
      <c r="D13" s="99">
        <f ca="1">C13/('Estimate Input'!$D$7*1000)</f>
        <v>55.725426445285763</v>
      </c>
      <c r="F13" s="99"/>
      <c r="G13" s="100"/>
      <c r="H13" s="99"/>
      <c r="I13" s="100"/>
      <c r="J13" s="99"/>
    </row>
    <row r="14" spans="1:10" s="46" customFormat="1" x14ac:dyDescent="0.25">
      <c r="A14" s="105"/>
      <c r="B14" s="40" t="s">
        <v>120</v>
      </c>
      <c r="C14" s="28">
        <f>Development!C4</f>
        <v>5000000</v>
      </c>
      <c r="D14" s="99">
        <f>C14/('Estimate Input'!$D$7*1000)</f>
        <v>25</v>
      </c>
      <c r="F14" s="99"/>
      <c r="G14" s="100"/>
      <c r="H14" s="99"/>
      <c r="I14" s="100"/>
      <c r="J14" s="99"/>
    </row>
    <row r="15" spans="1:10" x14ac:dyDescent="0.25">
      <c r="A15" s="105"/>
      <c r="B15" s="142" t="s">
        <v>50</v>
      </c>
      <c r="C15" s="143">
        <f>'Access Roads &amp; Site Imp.'!C5</f>
        <v>8074668</v>
      </c>
      <c r="D15" s="144">
        <f>C15/('Estimate Input'!$D$7*1000)</f>
        <v>40.373339999999999</v>
      </c>
      <c r="F15" s="99"/>
      <c r="G15" s="100"/>
      <c r="H15" s="99"/>
      <c r="I15" s="100"/>
      <c r="J15" s="99"/>
    </row>
    <row r="16" spans="1:10" x14ac:dyDescent="0.25">
      <c r="A16" s="105"/>
      <c r="B16" s="142" t="s">
        <v>53</v>
      </c>
      <c r="C16" s="143">
        <f>'WTG Foundations'!C5</f>
        <v>11286436.781082867</v>
      </c>
      <c r="D16" s="144">
        <f>C16/('Estimate Input'!$D$7*1000)</f>
        <v>56.432183905414334</v>
      </c>
      <c r="F16" s="99"/>
      <c r="G16" s="100"/>
      <c r="H16" s="99"/>
      <c r="I16" s="100"/>
      <c r="J16" s="99"/>
    </row>
    <row r="17" spans="1:10" x14ac:dyDescent="0.25">
      <c r="A17" s="105"/>
      <c r="B17" s="142" t="s">
        <v>54</v>
      </c>
      <c r="C17" s="143">
        <f>'WTG Erection'!C5</f>
        <v>9487605.4013682809</v>
      </c>
      <c r="D17" s="144">
        <f>C17/('Estimate Input'!$D$7*1000)</f>
        <v>47.438027006841402</v>
      </c>
      <c r="F17" s="99"/>
      <c r="G17" s="100"/>
      <c r="H17" s="99"/>
      <c r="I17" s="100"/>
      <c r="J17" s="99"/>
    </row>
    <row r="18" spans="1:10" x14ac:dyDescent="0.25">
      <c r="A18" s="105"/>
      <c r="B18" s="142" t="s">
        <v>55</v>
      </c>
      <c r="C18" s="143">
        <f>'MV Electrical Materials'!C5</f>
        <v>14675585</v>
      </c>
      <c r="D18" s="144">
        <f>C18/('Estimate Input'!$D$7*1000)</f>
        <v>73.377925000000005</v>
      </c>
      <c r="F18" s="99"/>
      <c r="G18" s="100"/>
      <c r="H18" s="99"/>
      <c r="I18" s="100"/>
      <c r="J18" s="99"/>
    </row>
    <row r="19" spans="1:10" x14ac:dyDescent="0.25">
      <c r="A19" s="105"/>
      <c r="B19" s="142" t="s">
        <v>56</v>
      </c>
      <c r="C19" s="143">
        <f>'MV Electrical Installation'!C5</f>
        <v>7757730</v>
      </c>
      <c r="D19" s="144">
        <f>C19/('Estimate Input'!$D$7*1000)</f>
        <v>38.788649999999997</v>
      </c>
      <c r="F19" s="99"/>
      <c r="G19" s="100"/>
      <c r="H19" s="99"/>
      <c r="I19" s="100"/>
      <c r="J19" s="99"/>
    </row>
    <row r="20" spans="1:10" x14ac:dyDescent="0.25">
      <c r="A20" s="105"/>
      <c r="B20" s="142" t="s">
        <v>57</v>
      </c>
      <c r="C20" s="143">
        <f>'Collector Substation'!C5</f>
        <v>5530851.4147177804</v>
      </c>
      <c r="D20" s="144">
        <f>C20/('Estimate Input'!$D$7*1000)</f>
        <v>27.654257073588902</v>
      </c>
      <c r="F20" s="99"/>
      <c r="G20" s="100"/>
      <c r="H20" s="99"/>
      <c r="I20" s="100"/>
      <c r="J20" s="99"/>
    </row>
    <row r="21" spans="1:10" s="46" customFormat="1" x14ac:dyDescent="0.25">
      <c r="A21" s="105"/>
      <c r="B21" s="146" t="s">
        <v>130</v>
      </c>
      <c r="C21" s="143">
        <f>'Project Management'!C5</f>
        <v>3431341.4729999998</v>
      </c>
      <c r="D21" s="144">
        <f>C21/('Estimate Input'!$D$7*1000)</f>
        <v>17.156707364999999</v>
      </c>
      <c r="F21" s="99"/>
      <c r="G21" s="100"/>
      <c r="H21" s="99"/>
      <c r="I21" s="100"/>
      <c r="J21" s="99"/>
    </row>
    <row r="22" spans="1:10" s="46" customFormat="1" x14ac:dyDescent="0.25">
      <c r="A22" s="105"/>
      <c r="F22" s="99"/>
      <c r="G22" s="100"/>
      <c r="H22" s="99"/>
      <c r="I22" s="100"/>
      <c r="J22" s="99"/>
    </row>
    <row r="23" spans="1:10" x14ac:dyDescent="0.25">
      <c r="A23" s="105"/>
      <c r="C23" s="28"/>
      <c r="D23" s="99"/>
      <c r="F23" s="46"/>
      <c r="G23" s="46"/>
      <c r="H23" s="46"/>
      <c r="I23" s="46"/>
      <c r="J23" s="46"/>
    </row>
    <row r="24" spans="1:10" x14ac:dyDescent="0.25">
      <c r="A24" s="105"/>
      <c r="B24" t="s">
        <v>60</v>
      </c>
      <c r="C24" s="28">
        <f ca="1">SUM(C6:C23)</f>
        <v>85599733.402896732</v>
      </c>
      <c r="D24" s="99">
        <f ca="1">C24/('Estimate Input'!$D$7*1000)</f>
        <v>427.99866701448366</v>
      </c>
      <c r="F24" s="126"/>
      <c r="G24" s="127"/>
      <c r="H24" s="127"/>
      <c r="I24" s="127"/>
      <c r="J24" s="127"/>
    </row>
    <row r="25" spans="1:10" x14ac:dyDescent="0.25">
      <c r="D25" s="99"/>
      <c r="F25" s="46"/>
      <c r="G25" s="46"/>
      <c r="H25" s="46"/>
      <c r="I25" s="46"/>
      <c r="J25" s="46"/>
    </row>
    <row r="26" spans="1:10" x14ac:dyDescent="0.25">
      <c r="B26" s="167" t="s">
        <v>156</v>
      </c>
      <c r="C26" s="47">
        <f>SUM(C15:C21)</f>
        <v>60244218.070168927</v>
      </c>
      <c r="D26" s="99">
        <f>C26/('Estimate Input'!$D$7*1000)</f>
        <v>301.22109035084463</v>
      </c>
      <c r="F26" s="101"/>
      <c r="G26" s="101"/>
      <c r="H26" s="101"/>
      <c r="I26" s="101"/>
      <c r="J26" s="101"/>
    </row>
    <row r="27" spans="1:10" x14ac:dyDescent="0.25">
      <c r="B27" s="167"/>
      <c r="C27" s="145">
        <f>C26/'Estimate Input'!C7</f>
        <v>602442.18070168933</v>
      </c>
      <c r="D27" s="47"/>
      <c r="F27" s="46"/>
      <c r="G27" s="104"/>
      <c r="H27" s="101"/>
      <c r="I27" s="104"/>
      <c r="J27" s="101"/>
    </row>
    <row r="28" spans="1:10" x14ac:dyDescent="0.25">
      <c r="F28" s="46"/>
      <c r="G28" s="46"/>
      <c r="H28" s="46"/>
      <c r="I28" s="46"/>
      <c r="J28" s="46"/>
    </row>
    <row r="29" spans="1:10" x14ac:dyDescent="0.25">
      <c r="F29" s="46"/>
      <c r="G29" s="104"/>
      <c r="H29" s="101"/>
      <c r="I29" s="104"/>
      <c r="J29" s="101"/>
    </row>
    <row r="30" spans="1:10" x14ac:dyDescent="0.25">
      <c r="F30" s="46"/>
      <c r="G30" s="46"/>
      <c r="H30" s="46"/>
      <c r="I30" s="46"/>
      <c r="J30" s="46"/>
    </row>
    <row r="31" spans="1:10" x14ac:dyDescent="0.25">
      <c r="F31" s="46"/>
      <c r="G31" s="46"/>
      <c r="H31" s="46"/>
      <c r="I31" s="46"/>
      <c r="J31" s="46"/>
    </row>
    <row r="32" spans="1:10" x14ac:dyDescent="0.25">
      <c r="F32" s="46"/>
      <c r="G32" s="46"/>
      <c r="H32" s="46"/>
      <c r="I32" s="46"/>
      <c r="J32" s="4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7"/>
  <sheetViews>
    <sheetView workbookViewId="0">
      <selection activeCell="C4" sqref="C4"/>
    </sheetView>
  </sheetViews>
  <sheetFormatPr defaultRowHeight="13.2" x14ac:dyDescent="0.25"/>
  <cols>
    <col min="1" max="1" width="3.109375" customWidth="1"/>
    <col min="2" max="2" width="44.33203125" customWidth="1"/>
    <col min="3" max="3" width="12.88671875" customWidth="1"/>
    <col min="4" max="4" width="11.6640625" customWidth="1"/>
    <col min="5" max="5" width="11.109375" bestFit="1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58.664062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128</v>
      </c>
      <c r="C4" s="97">
        <f>IF('Estimate Input'!C41=0,'Estimate Input'!C24*'Estimate Input'!C4*'Estimate Input'!C7,'Estimate Input'!C24*'Estimate Input'!C4*'Estimate Input'!C7+IF(AND('Estimate Input'!C4&lt;2500,'Estimate Input'!C6&lt;100),(1349*'Estimate Input'!C41^-0.254)*'Estimate Input'!C41*'Estimate Input'!C7,(1867*'Estimate Input'!C41^-0.274)*'Estimate Input'!C41*'Estimate Input'!C7))</f>
        <v>0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0</v>
      </c>
      <c r="D5" s="95">
        <v>2010</v>
      </c>
      <c r="E5" s="96" t="s">
        <v>114</v>
      </c>
    </row>
    <row r="6" spans="2:5" s="46" customFormat="1" x14ac:dyDescent="0.25"/>
    <row r="7" spans="2:5" s="46" customFormat="1" ht="14.4" x14ac:dyDescent="0.3">
      <c r="B7" s="86"/>
      <c r="C7" s="86"/>
      <c r="D7" s="86"/>
      <c r="E7" s="8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J22"/>
  <sheetViews>
    <sheetView workbookViewId="0">
      <selection activeCell="G7" sqref="G7"/>
    </sheetView>
  </sheetViews>
  <sheetFormatPr defaultRowHeight="13.2" x14ac:dyDescent="0.25"/>
  <cols>
    <col min="1" max="1" width="26.5546875" customWidth="1"/>
    <col min="2" max="2" width="49.44140625" bestFit="1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1:10" s="46" customFormat="1" x14ac:dyDescent="0.25"/>
    <row r="2" spans="1:10" s="46" customFormat="1" x14ac:dyDescent="0.25"/>
    <row r="3" spans="1:10" s="46" customFormat="1" x14ac:dyDescent="0.25"/>
    <row r="4" spans="1:10" s="46" customFormat="1" x14ac:dyDescent="0.25"/>
    <row r="5" spans="1:10" x14ac:dyDescent="0.25">
      <c r="A5" s="13" t="s">
        <v>70</v>
      </c>
      <c r="G5" t="s">
        <v>35</v>
      </c>
      <c r="H5" t="s">
        <v>36</v>
      </c>
    </row>
    <row r="6" spans="1:10" ht="13.8" thickBot="1" x14ac:dyDescent="0.3">
      <c r="A6" s="1" t="s">
        <v>42</v>
      </c>
      <c r="B6" s="2" t="s">
        <v>43</v>
      </c>
      <c r="C6" s="3"/>
      <c r="D6" s="4" t="s">
        <v>37</v>
      </c>
      <c r="E6" s="5" t="s">
        <v>38</v>
      </c>
      <c r="F6" s="6" t="s">
        <v>39</v>
      </c>
      <c r="G6" s="7" t="s">
        <v>40</v>
      </c>
      <c r="H6" s="8" t="s">
        <v>40</v>
      </c>
      <c r="I6" s="9" t="s">
        <v>41</v>
      </c>
      <c r="J6" s="10" t="s">
        <v>44</v>
      </c>
    </row>
    <row r="7" spans="1:10" x14ac:dyDescent="0.25">
      <c r="A7" s="31" t="s">
        <v>66</v>
      </c>
      <c r="B7" s="23" t="s">
        <v>67</v>
      </c>
      <c r="C7" s="14"/>
      <c r="D7" s="29">
        <f ca="1">'Estimate Report'!$C$24/1000</f>
        <v>85599.733402896731</v>
      </c>
      <c r="E7" s="23" t="s">
        <v>68</v>
      </c>
      <c r="F7" s="21">
        <v>3.5</v>
      </c>
      <c r="G7" s="20">
        <f ca="1">F7*D7</f>
        <v>299599.06691013859</v>
      </c>
      <c r="H7" s="15">
        <f ca="1">SUM(G7:G13)</f>
        <v>725087.24267787905</v>
      </c>
      <c r="I7" s="16">
        <f ca="1">H7/('Estimate Input'!D7*1000)</f>
        <v>3.6254362133893951</v>
      </c>
    </row>
    <row r="8" spans="1:10" x14ac:dyDescent="0.25">
      <c r="A8" s="31" t="s">
        <v>30</v>
      </c>
      <c r="B8" s="23" t="s">
        <v>67</v>
      </c>
      <c r="C8" s="14"/>
      <c r="D8" s="29">
        <f ca="1">'Estimate Report'!$C$24/1000+'Estimate Input'!$C$24*'Estimate Input'!$D$7</f>
        <v>85599.733402896731</v>
      </c>
      <c r="E8" s="23" t="s">
        <v>68</v>
      </c>
      <c r="F8" s="21">
        <v>0.7</v>
      </c>
      <c r="G8" s="20">
        <f t="shared" ref="G8:G12" ca="1" si="0">F8*D8</f>
        <v>59919.813382027707</v>
      </c>
      <c r="H8" s="19"/>
      <c r="I8" s="22"/>
    </row>
    <row r="9" spans="1:10" x14ac:dyDescent="0.25">
      <c r="A9" s="31" t="s">
        <v>31</v>
      </c>
      <c r="B9" s="23" t="s">
        <v>67</v>
      </c>
      <c r="C9" s="14"/>
      <c r="D9" s="29">
        <f ca="1">'Estimate Report'!$C$24/1000+'Estimate Input'!$C$24*'Estimate Input'!$D$7</f>
        <v>85599.733402896731</v>
      </c>
      <c r="E9" s="23" t="s">
        <v>68</v>
      </c>
      <c r="F9" s="21">
        <v>0.4</v>
      </c>
      <c r="G9" s="20">
        <f t="shared" ca="1" si="0"/>
        <v>34239.893361158691</v>
      </c>
      <c r="H9" s="19"/>
      <c r="I9" s="22"/>
    </row>
    <row r="10" spans="1:10" x14ac:dyDescent="0.25">
      <c r="A10" s="32" t="s">
        <v>32</v>
      </c>
      <c r="B10" s="23" t="s">
        <v>67</v>
      </c>
      <c r="C10" s="14"/>
      <c r="D10" s="29">
        <f ca="1">'Estimate Report'!$C$24/1000+'Estimate Input'!$C$24*'Estimate Input'!$D$7</f>
        <v>85599.733402896731</v>
      </c>
      <c r="E10" s="23" t="s">
        <v>68</v>
      </c>
      <c r="F10" s="21">
        <v>1</v>
      </c>
      <c r="G10" s="20">
        <f t="shared" ca="1" si="0"/>
        <v>85599.733402896731</v>
      </c>
      <c r="H10" s="19"/>
      <c r="I10" s="22"/>
    </row>
    <row r="11" spans="1:10" x14ac:dyDescent="0.25">
      <c r="A11" s="17" t="s">
        <v>33</v>
      </c>
      <c r="B11" s="23" t="s">
        <v>67</v>
      </c>
      <c r="C11" s="17"/>
      <c r="D11" s="29">
        <f ca="1">'Estimate Report'!$C$24/1000+'Estimate Input'!$C$24*'Estimate Input'!$D$7</f>
        <v>85599.733402896731</v>
      </c>
      <c r="E11" s="23" t="s">
        <v>68</v>
      </c>
      <c r="F11" s="21">
        <v>10</v>
      </c>
      <c r="G11" s="20">
        <f>IF('Estimate Input'!C34="Yes",F11*D11,0)</f>
        <v>0</v>
      </c>
      <c r="H11" s="19"/>
      <c r="I11" s="22"/>
    </row>
    <row r="12" spans="1:10" x14ac:dyDescent="0.25">
      <c r="A12" s="17" t="s">
        <v>63</v>
      </c>
      <c r="B12" s="18" t="s">
        <v>34</v>
      </c>
      <c r="C12" s="17"/>
      <c r="D12" s="19">
        <f>'Estimate Report'!C16</f>
        <v>11286436.781082867</v>
      </c>
      <c r="E12" s="20" t="s">
        <v>69</v>
      </c>
      <c r="F12" s="33">
        <v>0.02</v>
      </c>
      <c r="G12" s="20">
        <f t="shared" si="0"/>
        <v>225728.73562165734</v>
      </c>
      <c r="H12" s="19"/>
      <c r="I12" s="22"/>
      <c r="J12" t="s">
        <v>73</v>
      </c>
    </row>
    <row r="13" spans="1:10" x14ac:dyDescent="0.25">
      <c r="A13" s="23" t="s">
        <v>64</v>
      </c>
      <c r="B13" s="23" t="s">
        <v>65</v>
      </c>
      <c r="C13" s="14"/>
      <c r="D13" s="29">
        <v>1</v>
      </c>
      <c r="E13" s="23" t="s">
        <v>62</v>
      </c>
      <c r="F13" s="27">
        <v>20000</v>
      </c>
      <c r="G13" s="20">
        <f>F13*D13</f>
        <v>20000</v>
      </c>
      <c r="H13" s="19"/>
      <c r="I13" s="22"/>
    </row>
    <row r="14" spans="1:10" x14ac:dyDescent="0.25">
      <c r="A14" s="17"/>
      <c r="B14" s="18"/>
      <c r="C14" s="17"/>
      <c r="D14" s="19"/>
      <c r="E14" s="20"/>
      <c r="F14" s="21"/>
      <c r="G14" s="20"/>
      <c r="H14" s="19"/>
      <c r="I14" s="22"/>
    </row>
    <row r="15" spans="1:10" x14ac:dyDescent="0.25">
      <c r="A15" s="35"/>
      <c r="B15" s="31"/>
      <c r="C15" s="35"/>
      <c r="D15" s="36"/>
      <c r="E15" s="37"/>
      <c r="F15" s="38"/>
      <c r="G15" s="37"/>
      <c r="H15" s="36"/>
      <c r="I15" s="39"/>
      <c r="J15" s="24"/>
    </row>
    <row r="16" spans="1:10" x14ac:dyDescent="0.25">
      <c r="A16" s="35" t="s">
        <v>72</v>
      </c>
      <c r="B16" s="31"/>
      <c r="C16" s="35"/>
      <c r="D16" s="36"/>
      <c r="E16" s="37"/>
      <c r="F16" s="38"/>
      <c r="G16" s="37"/>
      <c r="H16" s="36"/>
      <c r="I16" s="39"/>
      <c r="J16" s="24"/>
    </row>
    <row r="17" spans="1:10" x14ac:dyDescent="0.25">
      <c r="A17" s="35"/>
      <c r="B17" s="31"/>
      <c r="C17" s="35"/>
      <c r="D17" s="36"/>
      <c r="E17" s="37"/>
      <c r="F17" s="38"/>
      <c r="G17" s="37"/>
      <c r="H17" s="36"/>
      <c r="I17" s="39"/>
      <c r="J17" s="24"/>
    </row>
    <row r="18" spans="1:10" x14ac:dyDescent="0.25">
      <c r="A18" s="35"/>
      <c r="B18" s="31"/>
      <c r="C18" s="35"/>
      <c r="D18" s="36"/>
      <c r="E18" s="37"/>
      <c r="F18" s="38"/>
      <c r="G18" s="37"/>
      <c r="H18" s="36"/>
      <c r="I18" s="39"/>
      <c r="J18" s="24"/>
    </row>
    <row r="19" spans="1:10" x14ac:dyDescent="0.25">
      <c r="A19" s="35"/>
      <c r="B19" s="31"/>
      <c r="C19" s="35"/>
      <c r="D19" s="36"/>
      <c r="E19" s="37"/>
      <c r="F19" s="38"/>
      <c r="G19" s="37"/>
      <c r="H19" s="36"/>
      <c r="I19" s="39"/>
      <c r="J19" s="24"/>
    </row>
    <row r="20" spans="1:1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B1:F11"/>
  <sheetViews>
    <sheetView workbookViewId="0">
      <selection activeCell="B15" sqref="B15"/>
    </sheetView>
  </sheetViews>
  <sheetFormatPr defaultRowHeight="13.2" x14ac:dyDescent="0.25"/>
  <cols>
    <col min="1" max="1" width="3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6" s="46" customFormat="1" x14ac:dyDescent="0.25"/>
    <row r="2" spans="2:6" s="46" customFormat="1" ht="13.8" thickBot="1" x14ac:dyDescent="0.3"/>
    <row r="3" spans="2:6" s="46" customFormat="1" ht="13.8" thickBot="1" x14ac:dyDescent="0.3">
      <c r="B3" s="89"/>
      <c r="C3" s="92" t="s">
        <v>110</v>
      </c>
      <c r="D3" s="88"/>
      <c r="E3" s="88"/>
    </row>
    <row r="4" spans="2:6" s="46" customFormat="1" ht="13.8" thickBot="1" x14ac:dyDescent="0.3">
      <c r="B4" s="94" t="s">
        <v>115</v>
      </c>
      <c r="C4" s="97">
        <f>7188.5*'Estimate Input'!C7+ROUND(3.4893*LN('Estimate Input'!C7)-7.3049,0)*16800+IF('Estimate Input'!D7&lt;200,1,2)*161675+4000</f>
        <v>1197400</v>
      </c>
      <c r="D4" s="93">
        <v>1</v>
      </c>
      <c r="E4" s="90" t="s">
        <v>112</v>
      </c>
    </row>
    <row r="5" spans="2:6" s="46" customFormat="1" ht="13.8" thickBot="1" x14ac:dyDescent="0.3">
      <c r="B5" s="94" t="s">
        <v>113</v>
      </c>
      <c r="C5" s="140">
        <f>C4*D4</f>
        <v>1197400</v>
      </c>
      <c r="D5" s="95">
        <v>2010</v>
      </c>
      <c r="E5" s="96" t="s">
        <v>114</v>
      </c>
    </row>
    <row r="6" spans="2:6" s="46" customFormat="1" x14ac:dyDescent="0.25"/>
    <row r="7" spans="2:6" s="46" customFormat="1" ht="14.4" x14ac:dyDescent="0.3">
      <c r="B7" s="86"/>
      <c r="C7" s="86"/>
      <c r="D7" s="86"/>
      <c r="E7" s="86"/>
    </row>
    <row r="8" spans="2:6" x14ac:dyDescent="0.25">
      <c r="E8" s="46"/>
      <c r="F8" s="46"/>
    </row>
    <row r="9" spans="2:6" x14ac:dyDescent="0.25">
      <c r="E9" s="46"/>
      <c r="F9" s="46"/>
    </row>
    <row r="10" spans="2:6" x14ac:dyDescent="0.25">
      <c r="E10" s="46"/>
      <c r="F10" s="46"/>
    </row>
    <row r="11" spans="2:6" x14ac:dyDescent="0.25">
      <c r="E11" s="46"/>
      <c r="F11" s="4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B1:G11"/>
  <sheetViews>
    <sheetView workbookViewId="0">
      <selection activeCell="B15" sqref="B15"/>
    </sheetView>
  </sheetViews>
  <sheetFormatPr defaultRowHeight="13.2" x14ac:dyDescent="0.25"/>
  <cols>
    <col min="1" max="1" width="24.44140625" bestFit="1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7" s="46" customFormat="1" x14ac:dyDescent="0.25"/>
    <row r="2" spans="2:7" s="46" customFormat="1" ht="13.8" thickBot="1" x14ac:dyDescent="0.3"/>
    <row r="3" spans="2:7" s="46" customFormat="1" ht="13.8" thickBot="1" x14ac:dyDescent="0.3">
      <c r="B3" s="89"/>
      <c r="C3" s="92" t="s">
        <v>110</v>
      </c>
      <c r="D3" s="88"/>
      <c r="E3" s="88"/>
    </row>
    <row r="4" spans="2:7" s="46" customFormat="1" ht="13.8" thickBot="1" x14ac:dyDescent="0.3">
      <c r="B4" s="94" t="s">
        <v>122</v>
      </c>
      <c r="C4" s="97">
        <f>C10*IF('Estimate Input'!C6&lt;90,232600,290000)+F10*IF('Estimate Input'!C6&lt;90,92600,116800)+200000</f>
        <v>1130400</v>
      </c>
      <c r="D4" s="93">
        <v>1</v>
      </c>
      <c r="E4" s="90" t="s">
        <v>112</v>
      </c>
    </row>
    <row r="5" spans="2:7" s="46" customFormat="1" ht="13.8" thickBot="1" x14ac:dyDescent="0.3">
      <c r="B5" s="94" t="s">
        <v>113</v>
      </c>
      <c r="C5" s="91">
        <f>C4*D4</f>
        <v>1130400</v>
      </c>
      <c r="D5" s="95">
        <v>2010</v>
      </c>
      <c r="E5" s="96" t="s">
        <v>114</v>
      </c>
    </row>
    <row r="6" spans="2:7" s="46" customFormat="1" x14ac:dyDescent="0.25"/>
    <row r="7" spans="2:7" s="46" customFormat="1" ht="15" thickBot="1" x14ac:dyDescent="0.35">
      <c r="B7" s="86"/>
      <c r="C7" s="86"/>
      <c r="D7" s="86"/>
      <c r="E7" s="86"/>
    </row>
    <row r="8" spans="2:7" s="46" customFormat="1" ht="15" thickBot="1" x14ac:dyDescent="0.35">
      <c r="B8" s="102"/>
      <c r="C8" s="97">
        <f>C10*IF('Estimate Input'!C6&lt;90,232600,290000)+F10*IF('Estimate Input'!C6&lt;90,92600,116800)+200000</f>
        <v>1130400</v>
      </c>
      <c r="D8" s="87"/>
      <c r="E8" s="98"/>
    </row>
    <row r="9" spans="2:7" s="46" customFormat="1" ht="13.8" thickBot="1" x14ac:dyDescent="0.3"/>
    <row r="10" spans="2:7" s="46" customFormat="1" ht="13.8" thickBot="1" x14ac:dyDescent="0.3">
      <c r="C10" s="141">
        <f>IF(INT('Estimate Input'!D7/100)&lt;1,1,IF(INT('Estimate Input'!D7/200)&lt;1,2,INT('Estimate Input'!D7/100)))</f>
        <v>2</v>
      </c>
      <c r="D10" s="137" t="s">
        <v>148</v>
      </c>
      <c r="E10" s="138"/>
      <c r="F10" s="139">
        <f>ROUND('Estimate Input'!D7/75,0)</f>
        <v>3</v>
      </c>
      <c r="G10" s="137" t="s">
        <v>149</v>
      </c>
    </row>
    <row r="11" spans="2:7" s="46" customFormat="1" x14ac:dyDescent="0.25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N15"/>
  <sheetViews>
    <sheetView zoomScaleNormal="100" workbookViewId="0">
      <selection activeCell="B15" sqref="B15"/>
    </sheetView>
  </sheetViews>
  <sheetFormatPr defaultRowHeight="13.2" x14ac:dyDescent="0.25"/>
  <cols>
    <col min="1" max="1" width="2.5546875" customWidth="1"/>
    <col min="2" max="2" width="44.33203125" customWidth="1"/>
    <col min="3" max="3" width="12.88671875" customWidth="1"/>
    <col min="4" max="4" width="12" bestFit="1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  <col min="13" max="13" width="12.88671875" bestFit="1" customWidth="1"/>
    <col min="14" max="14" width="11.33203125" style="46" customWidth="1"/>
    <col min="15" max="15" width="10.33203125" bestFit="1" customWidth="1"/>
    <col min="16" max="16" width="9.33203125" bestFit="1" customWidth="1"/>
    <col min="18" max="18" width="14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111</v>
      </c>
      <c r="C4" s="97">
        <f>INDEX(C9:D11,MATCH('Estimate Input'!C10,B9:B11,0),MATCH('Estimate Input'!C11,C8:D8,0))</f>
        <v>8074668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8074668</v>
      </c>
      <c r="D5" s="95">
        <v>2010</v>
      </c>
      <c r="E5" s="96" t="s">
        <v>114</v>
      </c>
    </row>
    <row r="6" spans="2:5" s="46" customFormat="1" x14ac:dyDescent="0.25"/>
    <row r="7" spans="2:5" s="46" customFormat="1" ht="15" thickBot="1" x14ac:dyDescent="0.35">
      <c r="B7" s="86"/>
      <c r="C7" s="86"/>
      <c r="D7" s="86"/>
      <c r="E7" s="86"/>
    </row>
    <row r="8" spans="2:5" s="46" customFormat="1" ht="15" thickBot="1" x14ac:dyDescent="0.35">
      <c r="B8" s="98"/>
      <c r="C8" s="110" t="s">
        <v>88</v>
      </c>
      <c r="D8" s="111" t="s">
        <v>91</v>
      </c>
      <c r="E8" s="98"/>
    </row>
    <row r="9" spans="2:5" s="46" customFormat="1" ht="14.4" x14ac:dyDescent="0.3">
      <c r="B9" s="107" t="s">
        <v>87</v>
      </c>
      <c r="C9" s="112">
        <f>('Estimate Input'!$C$7*49962.5+'Estimate Input'!$C$7*'Estimate Input'!$C$5*24.8+'Estimate Input'!$C$15*55500+'Estimate Input'!$C$21*3800)*1.05</f>
        <v>6671647.5</v>
      </c>
      <c r="D9" s="113">
        <f>('Estimate Input'!$C$7*62653.6+'Estimate Input'!$C$7*'Estimate Input'!$C$5*30.9+'Estimate Input'!$C$15*55500+'Estimate Input'!$C$21*3800)*1.05</f>
        <v>8074668</v>
      </c>
      <c r="E9" s="98"/>
    </row>
    <row r="10" spans="2:5" s="46" customFormat="1" ht="14.4" x14ac:dyDescent="0.3">
      <c r="B10" s="108" t="s">
        <v>90</v>
      </c>
      <c r="C10" s="114">
        <f>('Estimate Input'!$C$7*59822+'Estimate Input'!$C$7*'Estimate Input'!$C$5*26.8+'Estimate Input'!$C$15*55500+'Estimate Input'!$C$21*3800)*1.05</f>
        <v>7729995</v>
      </c>
      <c r="D10" s="115">
        <f>('Estimate Input'!$C$7*74213.3+'Estimate Input'!$C$7*'Estimate Input'!$C$5*33+'Estimate Input'!$C$15*55500+'Estimate Input'!$C$21*3800)*1.05</f>
        <v>9312691.5</v>
      </c>
      <c r="E10" s="98"/>
    </row>
    <row r="11" spans="2:5" s="46" customFormat="1" ht="15" thickBot="1" x14ac:dyDescent="0.35">
      <c r="B11" s="109" t="s">
        <v>93</v>
      </c>
      <c r="C11" s="116">
        <f>('Estimate Input'!$C$7*66324+'Estimate Input'!$C$7*'Estimate Input'!$C$5*26.8+'Estimate Input'!$C$15*55500+'Estimate Input'!$C$21*3800)*1.05</f>
        <v>8412705</v>
      </c>
      <c r="D11" s="117">
        <f>('Estimate Input'!$C$7*82901.1+'Estimate Input'!$C$7*'Estimate Input'!$C$5*33+'Estimate Input'!$C$15*55500+'Estimate Input'!$C$21*3800)*1.05</f>
        <v>10224910.5</v>
      </c>
      <c r="E11" s="98"/>
    </row>
    <row r="12" spans="2:5" s="46" customFormat="1" x14ac:dyDescent="0.25"/>
    <row r="13" spans="2:5" s="46" customFormat="1" x14ac:dyDescent="0.25"/>
    <row r="14" spans="2:5" s="46" customFormat="1" x14ac:dyDescent="0.25"/>
    <row r="15" spans="2:5" s="46" customFormat="1" x14ac:dyDescent="0.25"/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15"/>
  <sheetViews>
    <sheetView workbookViewId="0">
      <selection activeCell="B15" sqref="B15"/>
    </sheetView>
  </sheetViews>
  <sheetFormatPr defaultRowHeight="13.2" x14ac:dyDescent="0.25"/>
  <cols>
    <col min="1" max="1" width="3.109375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123</v>
      </c>
      <c r="C4" s="97">
        <f>'Estimate Input'!C21*9825+29850*'Estimate Input'!C15+IF('Estimate Input'!D7&gt;30,IF('Estimate Input'!D7&gt;100,10,5),3)*30000+IF('Estimate Input'!D7&gt;30,90000,0)+'Estimate Input'!D7/5*300+62400</f>
        <v>1110150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1110150</v>
      </c>
      <c r="D5" s="95">
        <v>2010</v>
      </c>
      <c r="E5" s="96" t="s">
        <v>114</v>
      </c>
    </row>
    <row r="6" spans="2:5" s="46" customFormat="1" x14ac:dyDescent="0.25"/>
    <row r="7" spans="2:5" s="46" customFormat="1" x14ac:dyDescent="0.25"/>
    <row r="8" spans="2:5" s="46" customFormat="1" x14ac:dyDescent="0.25">
      <c r="B8" s="34" t="s">
        <v>71</v>
      </c>
    </row>
    <row r="9" spans="2:5" s="46" customFormat="1" x14ac:dyDescent="0.25">
      <c r="B9" s="25" t="s">
        <v>116</v>
      </c>
    </row>
    <row r="10" spans="2:5" s="46" customFormat="1" x14ac:dyDescent="0.25">
      <c r="B10" s="25" t="s">
        <v>117</v>
      </c>
      <c r="C10" s="100"/>
    </row>
    <row r="11" spans="2:5" s="46" customFormat="1" x14ac:dyDescent="0.25">
      <c r="B11" s="25" t="s">
        <v>118</v>
      </c>
      <c r="C11" s="100"/>
    </row>
    <row r="12" spans="2:5" s="46" customFormat="1" x14ac:dyDescent="0.25">
      <c r="B12"/>
      <c r="C12" s="100"/>
    </row>
    <row r="13" spans="2:5" s="46" customFormat="1" x14ac:dyDescent="0.25">
      <c r="B13" s="105" t="s">
        <v>142</v>
      </c>
      <c r="C13" s="100"/>
    </row>
    <row r="14" spans="2:5" s="46" customFormat="1" x14ac:dyDescent="0.25">
      <c r="C14" s="100"/>
    </row>
    <row r="15" spans="2:5" s="46" customFormat="1" x14ac:dyDescent="0.25">
      <c r="C15" s="100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16"/>
  <sheetViews>
    <sheetView tabSelected="1" workbookViewId="0">
      <selection activeCell="B11" sqref="B11"/>
    </sheetView>
  </sheetViews>
  <sheetFormatPr defaultRowHeight="13.2" x14ac:dyDescent="0.25"/>
  <cols>
    <col min="1" max="1" width="3.109375" customWidth="1"/>
    <col min="2" max="2" width="44.33203125" customWidth="1"/>
    <col min="3" max="3" width="12.88671875" customWidth="1"/>
    <col min="4" max="4" width="11.6640625" customWidth="1"/>
    <col min="5" max="5" width="8.109375" customWidth="1"/>
    <col min="6" max="6" width="13.33203125" customWidth="1"/>
    <col min="7" max="7" width="12.5546875" customWidth="1"/>
    <col min="8" max="8" width="14.33203125" customWidth="1"/>
    <col min="9" max="9" width="13.109375" bestFit="1" customWidth="1"/>
    <col min="10" max="10" width="36.5546875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124</v>
      </c>
      <c r="C4" s="97">
        <f>'Estimate Input'!C16*125+176125</f>
        <v>801125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801125</v>
      </c>
      <c r="D5" s="95">
        <v>2010</v>
      </c>
      <c r="E5" s="96" t="s">
        <v>114</v>
      </c>
    </row>
    <row r="6" spans="2:5" s="46" customFormat="1" x14ac:dyDescent="0.25"/>
    <row r="7" spans="2:5" s="46" customFormat="1" ht="13.8" thickBot="1" x14ac:dyDescent="0.3"/>
    <row r="8" spans="2:5" s="46" customFormat="1" ht="13.8" thickBot="1" x14ac:dyDescent="0.3">
      <c r="B8" s="94" t="s">
        <v>157</v>
      </c>
      <c r="C8" s="168">
        <f>IF('Estimate Input'!D7&lt;200,3000,IF('Estimate Input'!D7&lt;500,5000,IF('Estimate Input'!D7&lt;800,7000,IF('Estimate Input'!D7&lt;1000,9000,12000))))</f>
        <v>5000</v>
      </c>
    </row>
    <row r="9" spans="2:5" s="46" customFormat="1" x14ac:dyDescent="0.25"/>
    <row r="10" spans="2:5" s="46" customFormat="1" x14ac:dyDescent="0.25">
      <c r="B10" s="34" t="s">
        <v>143</v>
      </c>
    </row>
    <row r="11" spans="2:5" s="46" customFormat="1" x14ac:dyDescent="0.25">
      <c r="B11" s="105" t="s">
        <v>144</v>
      </c>
    </row>
    <row r="12" spans="2:5" s="46" customFormat="1" x14ac:dyDescent="0.25">
      <c r="B12" s="105" t="s">
        <v>145</v>
      </c>
    </row>
    <row r="13" spans="2:5" s="46" customFormat="1" x14ac:dyDescent="0.25">
      <c r="B13" s="105" t="s">
        <v>150</v>
      </c>
    </row>
    <row r="14" spans="2:5" s="46" customFormat="1" x14ac:dyDescent="0.25">
      <c r="B14" s="105" t="s">
        <v>151</v>
      </c>
    </row>
    <row r="15" spans="2:5" s="46" customFormat="1" x14ac:dyDescent="0.25">
      <c r="B15" s="35" t="s">
        <v>152</v>
      </c>
    </row>
    <row r="16" spans="2:5" s="46" customFormat="1" x14ac:dyDescent="0.25"/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1:E11"/>
  <sheetViews>
    <sheetView zoomScaleNormal="100" workbookViewId="0">
      <selection activeCell="F22" sqref="F22"/>
    </sheetView>
  </sheetViews>
  <sheetFormatPr defaultRowHeight="13.2" x14ac:dyDescent="0.25"/>
  <cols>
    <col min="1" max="1" width="26.5546875" customWidth="1"/>
    <col min="2" max="2" width="44.33203125" customWidth="1"/>
    <col min="3" max="3" width="10.88671875" customWidth="1"/>
    <col min="4" max="6" width="11.33203125" customWidth="1"/>
    <col min="7" max="7" width="10.88671875" customWidth="1"/>
    <col min="8" max="8" width="11.33203125" customWidth="1"/>
    <col min="9" max="10" width="11.88671875" customWidth="1"/>
    <col min="11" max="11" width="10.88671875" customWidth="1"/>
    <col min="12" max="12" width="11.33203125" customWidth="1"/>
    <col min="13" max="14" width="11.88671875" bestFit="1" customWidth="1"/>
    <col min="15" max="15" width="10.88671875" bestFit="1" customWidth="1"/>
    <col min="16" max="16" width="11.33203125" bestFit="1" customWidth="1"/>
    <col min="17" max="18" width="11.88671875" bestFit="1" customWidth="1"/>
    <col min="19" max="19" width="10.88671875" bestFit="1" customWidth="1"/>
    <col min="20" max="20" width="11.33203125" bestFit="1" customWidth="1"/>
    <col min="21" max="22" width="11.88671875" bestFit="1" customWidth="1"/>
    <col min="23" max="23" width="10.88671875" bestFit="1" customWidth="1"/>
    <col min="24" max="24" width="11.33203125" bestFit="1" customWidth="1"/>
    <col min="25" max="26" width="11.88671875" bestFit="1" customWidth="1"/>
    <col min="27" max="27" width="10.88671875" bestFit="1" customWidth="1"/>
    <col min="28" max="28" width="11.33203125" bestFit="1" customWidth="1"/>
    <col min="29" max="30" width="11.88671875" bestFit="1" customWidth="1"/>
  </cols>
  <sheetData>
    <row r="1" spans="2:5" s="46" customFormat="1" x14ac:dyDescent="0.25"/>
    <row r="2" spans="2:5" s="46" customFormat="1" ht="13.8" thickBot="1" x14ac:dyDescent="0.3"/>
    <row r="3" spans="2:5" s="46" customFormat="1" ht="13.8" thickBot="1" x14ac:dyDescent="0.3">
      <c r="B3" s="89"/>
      <c r="C3" s="92" t="s">
        <v>110</v>
      </c>
      <c r="D3" s="88"/>
      <c r="E3" s="88"/>
    </row>
    <row r="4" spans="2:5" s="46" customFormat="1" ht="13.8" thickBot="1" x14ac:dyDescent="0.3">
      <c r="B4" s="94" t="s">
        <v>137</v>
      </c>
      <c r="C4" s="97">
        <f>('Estimate Input'!C4*'Estimate Input'!C5*'Estimate Input'!C25/1000+163421.5*'Estimate Input'!C7^-0.1458+('Estimate Input'!C6-80)/20*10000+IF('Estimate Input'!C12="Bouyant",20000,0))*'Estimate Input'!C7</f>
        <v>11286436.781082867</v>
      </c>
      <c r="D4" s="93">
        <v>1</v>
      </c>
      <c r="E4" s="90" t="s">
        <v>112</v>
      </c>
    </row>
    <row r="5" spans="2:5" s="46" customFormat="1" ht="13.8" thickBot="1" x14ac:dyDescent="0.3">
      <c r="B5" s="94" t="s">
        <v>113</v>
      </c>
      <c r="C5" s="91">
        <f>C4*D4</f>
        <v>11286436.781082867</v>
      </c>
      <c r="D5" s="95">
        <v>2010</v>
      </c>
      <c r="E5" s="96" t="s">
        <v>114</v>
      </c>
    </row>
    <row r="6" spans="2:5" s="46" customFormat="1" x14ac:dyDescent="0.25"/>
    <row r="7" spans="2:5" s="46" customFormat="1" x14ac:dyDescent="0.25">
      <c r="C7" s="47"/>
    </row>
    <row r="8" spans="2:5" s="46" customFormat="1" x14ac:dyDescent="0.25"/>
    <row r="9" spans="2:5" s="46" customFormat="1" x14ac:dyDescent="0.25"/>
    <row r="10" spans="2:5" s="46" customFormat="1" x14ac:dyDescent="0.25"/>
    <row r="11" spans="2:5" s="46" customFormat="1" x14ac:dyDescent="0.25"/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Estimate Input</vt:lpstr>
      <vt:lpstr>Turbine &amp; Transportation</vt:lpstr>
      <vt:lpstr>Insurance, Bonds &amp; Permitting</vt:lpstr>
      <vt:lpstr>Engineering</vt:lpstr>
      <vt:lpstr>Met Masts &amp; Power Performance</vt:lpstr>
      <vt:lpstr>Access Roads &amp; Site Imp.</vt:lpstr>
      <vt:lpstr>Site Compound &amp; Security</vt:lpstr>
      <vt:lpstr>Control - O&amp;M Bldg</vt:lpstr>
      <vt:lpstr>WTG Foundations</vt:lpstr>
      <vt:lpstr>WTG Erection</vt:lpstr>
      <vt:lpstr>MV Electrical Materials</vt:lpstr>
      <vt:lpstr>MV Electrical Installation</vt:lpstr>
      <vt:lpstr>Collector Substation</vt:lpstr>
      <vt:lpstr>Trans. Line &amp; Interconnect</vt:lpstr>
      <vt:lpstr>Construction Management</vt:lpstr>
      <vt:lpstr>Project Management</vt:lpstr>
      <vt:lpstr>Markup &amp; Contingency</vt:lpstr>
      <vt:lpstr>Development</vt:lpstr>
      <vt:lpstr>Estimate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jhaines</dc:creator>
  <cp:lastModifiedBy>Windows User</cp:lastModifiedBy>
  <cp:lastPrinted>2013-05-20T14:10:52Z</cp:lastPrinted>
  <dcterms:created xsi:type="dcterms:W3CDTF">2011-02-03T14:17:32Z</dcterms:created>
  <dcterms:modified xsi:type="dcterms:W3CDTF">2014-02-24T19:57:27Z</dcterms:modified>
</cp:coreProperties>
</file>